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.sharepoint.com/sites/OSS_Staff/Shared Documents/OSS Files/Financial/Five Year Forecasts/FY24 May Forecasts/"/>
    </mc:Choice>
  </mc:AlternateContent>
  <xr:revisionPtr revIDLastSave="0" documentId="8_{4E7F34C5-C098-40ED-A030-D864A271BD48}" xr6:coauthVersionLast="47" xr6:coauthVersionMax="47" xr10:uidLastSave="{00000000-0000-0000-0000-000000000000}"/>
  <bookViews>
    <workbookView xWindow="28680" yWindow="-120" windowWidth="29040" windowHeight="15720" xr2:uid="{30B1FAAF-8424-4F7E-AFC0-2E5600CACCE0}"/>
  </bookViews>
  <sheets>
    <sheet name="Forecast" sheetId="1" r:id="rId1"/>
    <sheet name="FY 24 Estim spring" sheetId="5" r:id="rId2"/>
    <sheet name="FY 25 Foundation Only" sheetId="6" r:id="rId3"/>
    <sheet name="FY 26 Foundation Only" sheetId="7" r:id="rId4"/>
    <sheet name="Assumptions" sheetId="4" r:id="rId5"/>
    <sheet name="FY 24 estimated" sheetId="2" r:id="rId6"/>
    <sheet name="Budget" sheetId="3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85" i="1" l="1"/>
  <c r="D89" i="1"/>
  <c r="D88" i="1"/>
  <c r="D76" i="1"/>
  <c r="D75" i="1"/>
  <c r="D16" i="1"/>
  <c r="E85" i="1" l="1"/>
  <c r="AH77" i="5"/>
  <c r="E16" i="1"/>
  <c r="C26" i="1" l="1"/>
  <c r="C92" i="1"/>
  <c r="C22" i="1" s="1"/>
  <c r="G79" i="1" l="1"/>
  <c r="F79" i="1"/>
  <c r="G13" i="1"/>
  <c r="G35" i="1"/>
  <c r="G16" i="1"/>
  <c r="F35" i="1"/>
  <c r="F13" i="1"/>
  <c r="F16" i="1"/>
  <c r="E91" i="1" l="1"/>
  <c r="E90" i="1"/>
  <c r="E89" i="1"/>
  <c r="E88" i="1"/>
  <c r="E84" i="1"/>
  <c r="E83" i="1"/>
  <c r="E82" i="1"/>
  <c r="E80" i="1"/>
  <c r="E79" i="1"/>
  <c r="E77" i="1"/>
  <c r="E76" i="1"/>
  <c r="E75" i="1"/>
  <c r="E74" i="1"/>
  <c r="E92" i="1" s="1"/>
  <c r="F74" i="1" l="1"/>
  <c r="G74" i="1" s="1"/>
  <c r="E23" i="1"/>
  <c r="E15" i="1"/>
  <c r="E13" i="1"/>
  <c r="E34" i="1"/>
  <c r="E35" i="1"/>
  <c r="AD115" i="5"/>
  <c r="AB115" i="5"/>
  <c r="Z115" i="5"/>
  <c r="X115" i="5"/>
  <c r="V115" i="5"/>
  <c r="T115" i="5"/>
  <c r="R115" i="5"/>
  <c r="P115" i="5"/>
  <c r="N115" i="5"/>
  <c r="L115" i="5"/>
  <c r="J115" i="5"/>
  <c r="H115" i="5"/>
  <c r="AF115" i="5" s="1"/>
  <c r="AF114" i="5"/>
  <c r="AF113" i="5"/>
  <c r="AF112" i="5"/>
  <c r="AF111" i="5"/>
  <c r="AF110" i="5"/>
  <c r="AF109" i="5"/>
  <c r="AF107" i="5"/>
  <c r="AD106" i="5"/>
  <c r="AF106" i="5" s="1"/>
  <c r="AB106" i="5"/>
  <c r="Z106" i="5"/>
  <c r="X106" i="5"/>
  <c r="V106" i="5"/>
  <c r="T106" i="5"/>
  <c r="R106" i="5"/>
  <c r="P106" i="5"/>
  <c r="N106" i="5"/>
  <c r="L106" i="5"/>
  <c r="J106" i="5"/>
  <c r="H106" i="5"/>
  <c r="AF105" i="5"/>
  <c r="AD103" i="5"/>
  <c r="AB103" i="5"/>
  <c r="Z103" i="5"/>
  <c r="X103" i="5"/>
  <c r="V103" i="5"/>
  <c r="T103" i="5"/>
  <c r="R103" i="5"/>
  <c r="P103" i="5"/>
  <c r="N103" i="5"/>
  <c r="L103" i="5"/>
  <c r="AF103" i="5" s="1"/>
  <c r="J103" i="5"/>
  <c r="H103" i="5"/>
  <c r="AF102" i="5"/>
  <c r="AD100" i="5"/>
  <c r="AB100" i="5"/>
  <c r="Z100" i="5"/>
  <c r="X100" i="5"/>
  <c r="V100" i="5"/>
  <c r="T100" i="5"/>
  <c r="R100" i="5"/>
  <c r="P100" i="5"/>
  <c r="N100" i="5"/>
  <c r="L100" i="5"/>
  <c r="J100" i="5"/>
  <c r="H100" i="5"/>
  <c r="AF100" i="5" s="1"/>
  <c r="AF99" i="5"/>
  <c r="AD97" i="5"/>
  <c r="Z97" i="5"/>
  <c r="V97" i="5"/>
  <c r="T97" i="5"/>
  <c r="R97" i="5"/>
  <c r="AD96" i="5"/>
  <c r="AB96" i="5"/>
  <c r="AB97" i="5" s="1"/>
  <c r="Z96" i="5"/>
  <c r="X96" i="5"/>
  <c r="X97" i="5" s="1"/>
  <c r="V96" i="5"/>
  <c r="T96" i="5"/>
  <c r="R96" i="5"/>
  <c r="P96" i="5"/>
  <c r="P97" i="5" s="1"/>
  <c r="N96" i="5"/>
  <c r="N97" i="5" s="1"/>
  <c r="L96" i="5"/>
  <c r="AF96" i="5" s="1"/>
  <c r="J96" i="5"/>
  <c r="J97" i="5" s="1"/>
  <c r="H96" i="5"/>
  <c r="H97" i="5" s="1"/>
  <c r="AF95" i="5"/>
  <c r="AF94" i="5"/>
  <c r="AF93" i="5"/>
  <c r="AF92" i="5"/>
  <c r="AD89" i="5"/>
  <c r="AB89" i="5"/>
  <c r="Z89" i="5"/>
  <c r="X89" i="5"/>
  <c r="V89" i="5"/>
  <c r="T89" i="5"/>
  <c r="R89" i="5"/>
  <c r="P89" i="5"/>
  <c r="N89" i="5"/>
  <c r="L89" i="5"/>
  <c r="J89" i="5"/>
  <c r="AF89" i="5" s="1"/>
  <c r="H89" i="5"/>
  <c r="AF88" i="5"/>
  <c r="AD86" i="5"/>
  <c r="AB86" i="5"/>
  <c r="Z86" i="5"/>
  <c r="X86" i="5"/>
  <c r="V86" i="5"/>
  <c r="T86" i="5"/>
  <c r="R86" i="5"/>
  <c r="P86" i="5"/>
  <c r="N86" i="5"/>
  <c r="L86" i="5"/>
  <c r="J86" i="5"/>
  <c r="AF86" i="5" s="1"/>
  <c r="H86" i="5"/>
  <c r="AF85" i="5"/>
  <c r="AF84" i="5"/>
  <c r="AD82" i="5"/>
  <c r="AB82" i="5"/>
  <c r="Z82" i="5"/>
  <c r="X82" i="5"/>
  <c r="V82" i="5"/>
  <c r="T82" i="5"/>
  <c r="R82" i="5"/>
  <c r="P82" i="5"/>
  <c r="N82" i="5"/>
  <c r="L82" i="5"/>
  <c r="J82" i="5"/>
  <c r="H82" i="5"/>
  <c r="AF82" i="5" s="1"/>
  <c r="AF81" i="5"/>
  <c r="AF80" i="5"/>
  <c r="AF79" i="5"/>
  <c r="AD77" i="5"/>
  <c r="AB77" i="5"/>
  <c r="Z77" i="5"/>
  <c r="X77" i="5"/>
  <c r="V77" i="5"/>
  <c r="T77" i="5"/>
  <c r="R77" i="5"/>
  <c r="P77" i="5"/>
  <c r="N77" i="5"/>
  <c r="L77" i="5"/>
  <c r="J77" i="5"/>
  <c r="H77" i="5"/>
  <c r="AF77" i="5" s="1"/>
  <c r="AF76" i="5"/>
  <c r="AF75" i="5"/>
  <c r="AF74" i="5"/>
  <c r="AD72" i="5"/>
  <c r="AB72" i="5"/>
  <c r="Z72" i="5"/>
  <c r="X72" i="5"/>
  <c r="V72" i="5"/>
  <c r="T72" i="5"/>
  <c r="R72" i="5"/>
  <c r="P72" i="5"/>
  <c r="N72" i="5"/>
  <c r="L72" i="5"/>
  <c r="J72" i="5"/>
  <c r="H72" i="5"/>
  <c r="AF72" i="5" s="1"/>
  <c r="AF71" i="5"/>
  <c r="AD69" i="5"/>
  <c r="AB69" i="5"/>
  <c r="Z69" i="5"/>
  <c r="X69" i="5"/>
  <c r="V69" i="5"/>
  <c r="T69" i="5"/>
  <c r="R69" i="5"/>
  <c r="P69" i="5"/>
  <c r="N69" i="5"/>
  <c r="L69" i="5"/>
  <c r="AF69" i="5" s="1"/>
  <c r="J69" i="5"/>
  <c r="H69" i="5"/>
  <c r="AF68" i="5"/>
  <c r="AF67" i="5"/>
  <c r="AF66" i="5"/>
  <c r="AF65" i="5"/>
  <c r="X63" i="5"/>
  <c r="V63" i="5"/>
  <c r="T63" i="5"/>
  <c r="R63" i="5"/>
  <c r="P63" i="5"/>
  <c r="N63" i="5"/>
  <c r="L63" i="5"/>
  <c r="J63" i="5"/>
  <c r="H63" i="5"/>
  <c r="AF62" i="5"/>
  <c r="AF61" i="5"/>
  <c r="AF60" i="5"/>
  <c r="AF59" i="5"/>
  <c r="AF58" i="5"/>
  <c r="AF57" i="5"/>
  <c r="AF56" i="5"/>
  <c r="AF55" i="5"/>
  <c r="AF54" i="5"/>
  <c r="AF53" i="5"/>
  <c r="AF51" i="5"/>
  <c r="AF50" i="5"/>
  <c r="AF49" i="5"/>
  <c r="Z48" i="5"/>
  <c r="AF48" i="5" s="1"/>
  <c r="AD46" i="5"/>
  <c r="AB46" i="5"/>
  <c r="Z46" i="5"/>
  <c r="X46" i="5"/>
  <c r="X116" i="5" s="1"/>
  <c r="V46" i="5"/>
  <c r="T46" i="5"/>
  <c r="R46" i="5"/>
  <c r="P46" i="5"/>
  <c r="N46" i="5"/>
  <c r="L46" i="5"/>
  <c r="J46" i="5"/>
  <c r="H46" i="5"/>
  <c r="AF46" i="5" s="1"/>
  <c r="E21" i="1" s="1"/>
  <c r="AF45" i="5"/>
  <c r="AF44" i="5"/>
  <c r="AF43" i="5"/>
  <c r="AF42" i="5"/>
  <c r="AF41" i="5"/>
  <c r="AF40" i="5"/>
  <c r="AF39" i="5"/>
  <c r="AD37" i="5"/>
  <c r="AB37" i="5"/>
  <c r="Z37" i="5"/>
  <c r="X37" i="5"/>
  <c r="V37" i="5"/>
  <c r="V116" i="5" s="1"/>
  <c r="T37" i="5"/>
  <c r="T116" i="5" s="1"/>
  <c r="R37" i="5"/>
  <c r="R116" i="5" s="1"/>
  <c r="P37" i="5"/>
  <c r="N37" i="5"/>
  <c r="N116" i="5" s="1"/>
  <c r="L37" i="5"/>
  <c r="J37" i="5"/>
  <c r="H37" i="5"/>
  <c r="H116" i="5" s="1"/>
  <c r="AF36" i="5"/>
  <c r="AF35" i="5"/>
  <c r="AF34" i="5"/>
  <c r="AF33" i="5"/>
  <c r="AF32" i="5"/>
  <c r="AF31" i="5"/>
  <c r="N27" i="5"/>
  <c r="N28" i="5" s="1"/>
  <c r="AF26" i="5"/>
  <c r="AD25" i="5"/>
  <c r="AB25" i="5"/>
  <c r="R25" i="5"/>
  <c r="N25" i="5"/>
  <c r="L25" i="5"/>
  <c r="J25" i="5"/>
  <c r="AD24" i="5"/>
  <c r="AB24" i="5"/>
  <c r="X24" i="5"/>
  <c r="X25" i="5" s="1"/>
  <c r="V24" i="5"/>
  <c r="V25" i="5" s="1"/>
  <c r="T24" i="5"/>
  <c r="T25" i="5" s="1"/>
  <c r="R24" i="5"/>
  <c r="P24" i="5"/>
  <c r="P25" i="5" s="1"/>
  <c r="N24" i="5"/>
  <c r="L24" i="5"/>
  <c r="J24" i="5"/>
  <c r="H24" i="5"/>
  <c r="H25" i="5" s="1"/>
  <c r="Z23" i="5"/>
  <c r="Z24" i="5" s="1"/>
  <c r="Z25" i="5" s="1"/>
  <c r="X20" i="5"/>
  <c r="V20" i="5"/>
  <c r="T20" i="5"/>
  <c r="R20" i="5"/>
  <c r="P20" i="5"/>
  <c r="N20" i="5"/>
  <c r="L20" i="5"/>
  <c r="J20" i="5"/>
  <c r="H20" i="5"/>
  <c r="AD19" i="5"/>
  <c r="AD20" i="5" s="1"/>
  <c r="AB19" i="5"/>
  <c r="AF19" i="5" s="1"/>
  <c r="Z19" i="5"/>
  <c r="AF18" i="5"/>
  <c r="AD18" i="5"/>
  <c r="AB18" i="5"/>
  <c r="Z18" i="5"/>
  <c r="Z20" i="5" s="1"/>
  <c r="AD16" i="5"/>
  <c r="X16" i="5"/>
  <c r="V16" i="5"/>
  <c r="T16" i="5"/>
  <c r="R16" i="5"/>
  <c r="P16" i="5"/>
  <c r="N16" i="5"/>
  <c r="L16" i="5"/>
  <c r="AF16" i="5" s="1"/>
  <c r="J16" i="5"/>
  <c r="H16" i="5"/>
  <c r="AD15" i="5"/>
  <c r="AB15" i="5"/>
  <c r="AB16" i="5" s="1"/>
  <c r="Z15" i="5"/>
  <c r="Z16" i="5" s="1"/>
  <c r="AF14" i="5"/>
  <c r="AD12" i="5"/>
  <c r="AB12" i="5"/>
  <c r="Z12" i="5"/>
  <c r="X12" i="5"/>
  <c r="V12" i="5"/>
  <c r="T12" i="5"/>
  <c r="R12" i="5"/>
  <c r="P12" i="5"/>
  <c r="N12" i="5"/>
  <c r="L12" i="5"/>
  <c r="J12" i="5"/>
  <c r="H12" i="5"/>
  <c r="AF12" i="5" s="1"/>
  <c r="AF11" i="5"/>
  <c r="AD9" i="5"/>
  <c r="Z9" i="5"/>
  <c r="X9" i="5"/>
  <c r="V9" i="5"/>
  <c r="T9" i="5"/>
  <c r="R9" i="5"/>
  <c r="P9" i="5"/>
  <c r="N9" i="5"/>
  <c r="L9" i="5"/>
  <c r="AF9" i="5" s="1"/>
  <c r="J9" i="5"/>
  <c r="H9" i="5"/>
  <c r="AF8" i="5"/>
  <c r="AB8" i="5"/>
  <c r="AB9" i="5" s="1"/>
  <c r="AD6" i="5"/>
  <c r="AB6" i="5"/>
  <c r="Z6" i="5"/>
  <c r="X6" i="5"/>
  <c r="V6" i="5"/>
  <c r="T6" i="5"/>
  <c r="R6" i="5"/>
  <c r="R27" i="5" s="1"/>
  <c r="R28" i="5" s="1"/>
  <c r="R117" i="5" s="1"/>
  <c r="R118" i="5" s="1"/>
  <c r="P6" i="5"/>
  <c r="N6" i="5"/>
  <c r="L6" i="5"/>
  <c r="L27" i="5" s="1"/>
  <c r="L28" i="5" s="1"/>
  <c r="J6" i="5"/>
  <c r="J27" i="5" s="1"/>
  <c r="J28" i="5" s="1"/>
  <c r="H6" i="5"/>
  <c r="AF5" i="5"/>
  <c r="D38" i="4"/>
  <c r="I36" i="4"/>
  <c r="H36" i="4"/>
  <c r="G36" i="4"/>
  <c r="J34" i="4"/>
  <c r="J29" i="4"/>
  <c r="J36" i="4" s="1"/>
  <c r="AF37" i="5" l="1"/>
  <c r="E20" i="1" s="1"/>
  <c r="H74" i="1"/>
  <c r="I74" i="1" s="1"/>
  <c r="H27" i="5"/>
  <c r="P27" i="5"/>
  <c r="P28" i="5" s="1"/>
  <c r="AB27" i="5"/>
  <c r="AB28" i="5" s="1"/>
  <c r="AD27" i="5"/>
  <c r="AD28" i="5" s="1"/>
  <c r="P116" i="5"/>
  <c r="AD52" i="5"/>
  <c r="AD63" i="5" s="1"/>
  <c r="AD116" i="5" s="1"/>
  <c r="AF25" i="5"/>
  <c r="T27" i="5"/>
  <c r="T28" i="5" s="1"/>
  <c r="T117" i="5" s="1"/>
  <c r="T118" i="5" s="1"/>
  <c r="V27" i="5"/>
  <c r="V28" i="5" s="1"/>
  <c r="V117" i="5" s="1"/>
  <c r="V118" i="5" s="1"/>
  <c r="Z27" i="5"/>
  <c r="Z28" i="5" s="1"/>
  <c r="Z52" i="5"/>
  <c r="N117" i="5"/>
  <c r="N118" i="5" s="1"/>
  <c r="X27" i="5"/>
  <c r="X28" i="5" s="1"/>
  <c r="X117" i="5" s="1"/>
  <c r="X118" i="5" s="1"/>
  <c r="AF6" i="5"/>
  <c r="AF15" i="5"/>
  <c r="AB20" i="5"/>
  <c r="AF20" i="5" s="1"/>
  <c r="L97" i="5"/>
  <c r="AF97" i="5" s="1"/>
  <c r="AF24" i="5"/>
  <c r="AF23" i="5"/>
  <c r="J116" i="5"/>
  <c r="E13" i="3"/>
  <c r="M13" i="3" s="1"/>
  <c r="G11" i="3"/>
  <c r="I11" i="3"/>
  <c r="C11" i="3"/>
  <c r="D11" i="3"/>
  <c r="E11" i="3"/>
  <c r="G10" i="3"/>
  <c r="AH78" i="2"/>
  <c r="E10" i="3"/>
  <c r="AH80" i="2"/>
  <c r="F10" i="3"/>
  <c r="F14" i="3" s="1"/>
  <c r="F17" i="3" s="1"/>
  <c r="H10" i="3"/>
  <c r="AJ51" i="2"/>
  <c r="I10" i="3"/>
  <c r="H14" i="3"/>
  <c r="H17" i="3" s="1"/>
  <c r="D10" i="3"/>
  <c r="C10" i="3"/>
  <c r="E9" i="3"/>
  <c r="D9" i="3"/>
  <c r="C9" i="3"/>
  <c r="E8" i="3"/>
  <c r="D8" i="3"/>
  <c r="C8" i="3"/>
  <c r="L14" i="3"/>
  <c r="L17" i="3" s="1"/>
  <c r="K14" i="3"/>
  <c r="K17" i="3" s="1"/>
  <c r="J14" i="3"/>
  <c r="J17" i="3" s="1"/>
  <c r="M12" i="3"/>
  <c r="J117" i="5" l="1"/>
  <c r="J118" i="5" s="1"/>
  <c r="L116" i="5"/>
  <c r="L117" i="5" s="1"/>
  <c r="L118" i="5" s="1"/>
  <c r="P117" i="5"/>
  <c r="P118" i="5" s="1"/>
  <c r="AD117" i="5"/>
  <c r="AD118" i="5" s="1"/>
  <c r="AB52" i="5"/>
  <c r="AB63" i="5" s="1"/>
  <c r="AB116" i="5" s="1"/>
  <c r="AB117" i="5" s="1"/>
  <c r="AB118" i="5" s="1"/>
  <c r="Z63" i="5"/>
  <c r="AF52" i="5"/>
  <c r="H28" i="5"/>
  <c r="AF27" i="5"/>
  <c r="G14" i="3"/>
  <c r="G17" i="3" s="1"/>
  <c r="I14" i="3"/>
  <c r="I17" i="3" s="1"/>
  <c r="M11" i="3"/>
  <c r="M10" i="3"/>
  <c r="E14" i="3"/>
  <c r="E17" i="3" s="1"/>
  <c r="M9" i="3"/>
  <c r="D14" i="3"/>
  <c r="D17" i="3" s="1"/>
  <c r="C14" i="3"/>
  <c r="C17" i="3" s="1"/>
  <c r="M8" i="3"/>
  <c r="Z116" i="5" l="1"/>
  <c r="Z117" i="5" s="1"/>
  <c r="Z118" i="5" s="1"/>
  <c r="AF63" i="5"/>
  <c r="AF28" i="5"/>
  <c r="H117" i="5"/>
  <c r="M14" i="3"/>
  <c r="M17" i="3" s="1"/>
  <c r="AF116" i="5" l="1"/>
  <c r="AH46" i="5" s="1"/>
  <c r="AH70" i="5"/>
  <c r="AI103" i="5"/>
  <c r="H118" i="5"/>
  <c r="AF118" i="5" s="1"/>
  <c r="AF117" i="5"/>
  <c r="H105" i="2"/>
  <c r="AD104" i="2"/>
  <c r="AB104" i="2"/>
  <c r="Z104" i="2"/>
  <c r="X104" i="2"/>
  <c r="X105" i="2" s="1"/>
  <c r="V104" i="2"/>
  <c r="T104" i="2"/>
  <c r="R104" i="2"/>
  <c r="P104" i="2"/>
  <c r="N104" i="2"/>
  <c r="L104" i="2"/>
  <c r="AF103" i="2"/>
  <c r="AF104" i="2" s="1"/>
  <c r="AF102" i="2"/>
  <c r="AF101" i="2"/>
  <c r="AF100" i="2"/>
  <c r="AF99" i="2"/>
  <c r="AD90" i="2"/>
  <c r="AB90" i="2"/>
  <c r="Z90" i="2"/>
  <c r="X90" i="2"/>
  <c r="V90" i="2"/>
  <c r="T90" i="2"/>
  <c r="R90" i="2"/>
  <c r="P90" i="2"/>
  <c r="N90" i="2"/>
  <c r="L90" i="2"/>
  <c r="AF89" i="2"/>
  <c r="AF90" i="2" s="1"/>
  <c r="P87" i="2"/>
  <c r="AD86" i="2"/>
  <c r="AD87" i="2" s="1"/>
  <c r="AB86" i="2"/>
  <c r="AB87" i="2" s="1"/>
  <c r="Z86" i="2"/>
  <c r="Z87" i="2" s="1"/>
  <c r="X86" i="2"/>
  <c r="X87" i="2" s="1"/>
  <c r="V86" i="2"/>
  <c r="V87" i="2" s="1"/>
  <c r="T86" i="2"/>
  <c r="T87" i="2" s="1"/>
  <c r="R86" i="2"/>
  <c r="R87" i="2" s="1"/>
  <c r="P86" i="2"/>
  <c r="N86" i="2"/>
  <c r="N87" i="2" s="1"/>
  <c r="L86" i="2"/>
  <c r="L87" i="2" s="1"/>
  <c r="AF85" i="2"/>
  <c r="AF84" i="2"/>
  <c r="AF83" i="2"/>
  <c r="AF86" i="2" s="1"/>
  <c r="AF82" i="2"/>
  <c r="AD79" i="2"/>
  <c r="Z79" i="2"/>
  <c r="X79" i="2"/>
  <c r="V79" i="2"/>
  <c r="T79" i="2"/>
  <c r="AD78" i="2"/>
  <c r="AB78" i="2"/>
  <c r="AB79" i="2" s="1"/>
  <c r="Z78" i="2"/>
  <c r="X78" i="2"/>
  <c r="V78" i="2"/>
  <c r="T78" i="2"/>
  <c r="R78" i="2"/>
  <c r="R79" i="2" s="1"/>
  <c r="P78" i="2"/>
  <c r="P79" i="2" s="1"/>
  <c r="N78" i="2"/>
  <c r="N79" i="2" s="1"/>
  <c r="AD76" i="2"/>
  <c r="V76" i="2"/>
  <c r="T76" i="2"/>
  <c r="L76" i="2"/>
  <c r="R75" i="2"/>
  <c r="AF75" i="2" s="1"/>
  <c r="AD74" i="2"/>
  <c r="AB74" i="2"/>
  <c r="AB76" i="2" s="1"/>
  <c r="Z74" i="2"/>
  <c r="Z76" i="2" s="1"/>
  <c r="X74" i="2"/>
  <c r="X76" i="2" s="1"/>
  <c r="V74" i="2"/>
  <c r="T74" i="2"/>
  <c r="R74" i="2"/>
  <c r="R76" i="2" s="1"/>
  <c r="P74" i="2"/>
  <c r="P76" i="2" s="1"/>
  <c r="N74" i="2"/>
  <c r="N76" i="2" s="1"/>
  <c r="AD72" i="2"/>
  <c r="AB72" i="2"/>
  <c r="Z72" i="2"/>
  <c r="X72" i="2"/>
  <c r="V72" i="2"/>
  <c r="T72" i="2"/>
  <c r="R72" i="2"/>
  <c r="P72" i="2"/>
  <c r="N72" i="2"/>
  <c r="L72" i="2"/>
  <c r="AF71" i="2"/>
  <c r="AF70" i="2"/>
  <c r="AF69" i="2"/>
  <c r="AF68" i="2"/>
  <c r="AF72" i="2" s="1"/>
  <c r="AD66" i="2"/>
  <c r="AB66" i="2"/>
  <c r="Z66" i="2"/>
  <c r="X66" i="2"/>
  <c r="V66" i="2"/>
  <c r="T66" i="2"/>
  <c r="R66" i="2"/>
  <c r="P66" i="2"/>
  <c r="N66" i="2"/>
  <c r="L66" i="2"/>
  <c r="AF65" i="2"/>
  <c r="AF66" i="2" s="1"/>
  <c r="AF64" i="2"/>
  <c r="AD62" i="2"/>
  <c r="AB62" i="2"/>
  <c r="Z62" i="2"/>
  <c r="X62" i="2"/>
  <c r="V62" i="2"/>
  <c r="T62" i="2"/>
  <c r="R62" i="2"/>
  <c r="P62" i="2"/>
  <c r="N62" i="2"/>
  <c r="AF61" i="2"/>
  <c r="AF62" i="2" s="1"/>
  <c r="AD59" i="2"/>
  <c r="AB59" i="2"/>
  <c r="Z59" i="2"/>
  <c r="P59" i="2"/>
  <c r="L59" i="2"/>
  <c r="J59" i="2"/>
  <c r="J105" i="2" s="1"/>
  <c r="AD58" i="2"/>
  <c r="AB58" i="2"/>
  <c r="Z58" i="2"/>
  <c r="X58" i="2"/>
  <c r="X59" i="2" s="1"/>
  <c r="V58" i="2"/>
  <c r="V59" i="2" s="1"/>
  <c r="T58" i="2"/>
  <c r="T59" i="2" s="1"/>
  <c r="R58" i="2"/>
  <c r="R59" i="2" s="1"/>
  <c r="P58" i="2"/>
  <c r="N58" i="2"/>
  <c r="N59" i="2" s="1"/>
  <c r="AF57" i="2"/>
  <c r="AF56" i="2"/>
  <c r="AF55" i="2"/>
  <c r="L53" i="2"/>
  <c r="AF52" i="2"/>
  <c r="AD51" i="2"/>
  <c r="AB51" i="2"/>
  <c r="Z51" i="2"/>
  <c r="X51" i="2"/>
  <c r="V51" i="2"/>
  <c r="T51" i="2"/>
  <c r="R51" i="2"/>
  <c r="P51" i="2"/>
  <c r="AF51" i="2" s="1"/>
  <c r="AF50" i="2"/>
  <c r="AF49" i="2"/>
  <c r="AF48" i="2"/>
  <c r="AF47" i="2"/>
  <c r="AF45" i="2"/>
  <c r="AF44" i="2"/>
  <c r="AF43" i="2"/>
  <c r="Z41" i="2"/>
  <c r="X41" i="2"/>
  <c r="AF40" i="2"/>
  <c r="AD39" i="2"/>
  <c r="AB39" i="2"/>
  <c r="Z39" i="2"/>
  <c r="X39" i="2"/>
  <c r="V39" i="2"/>
  <c r="T39" i="2"/>
  <c r="R39" i="2"/>
  <c r="P39" i="2"/>
  <c r="N39" i="2"/>
  <c r="L39" i="2"/>
  <c r="AF39" i="2" s="1"/>
  <c r="AD38" i="2"/>
  <c r="AB38" i="2"/>
  <c r="Z38" i="2"/>
  <c r="X38" i="2"/>
  <c r="V38" i="2"/>
  <c r="T38" i="2"/>
  <c r="R38" i="2"/>
  <c r="P38" i="2"/>
  <c r="N38" i="2"/>
  <c r="L38" i="2"/>
  <c r="AF38" i="2" s="1"/>
  <c r="AD37" i="2"/>
  <c r="AD41" i="2" s="1"/>
  <c r="AB37" i="2"/>
  <c r="AB41" i="2" s="1"/>
  <c r="Z37" i="2"/>
  <c r="X37" i="2"/>
  <c r="V37" i="2"/>
  <c r="T37" i="2"/>
  <c r="R37" i="2"/>
  <c r="P37" i="2"/>
  <c r="N37" i="2"/>
  <c r="L37" i="2"/>
  <c r="AD36" i="2"/>
  <c r="AB36" i="2"/>
  <c r="Z36" i="2"/>
  <c r="X36" i="2"/>
  <c r="V36" i="2"/>
  <c r="T36" i="2"/>
  <c r="R36" i="2"/>
  <c r="P36" i="2"/>
  <c r="N36" i="2"/>
  <c r="L36" i="2"/>
  <c r="AF36" i="2" s="1"/>
  <c r="AD35" i="2"/>
  <c r="AB35" i="2"/>
  <c r="Z35" i="2"/>
  <c r="X35" i="2"/>
  <c r="V35" i="2"/>
  <c r="V41" i="2" s="1"/>
  <c r="T35" i="2"/>
  <c r="T41" i="2" s="1"/>
  <c r="R35" i="2"/>
  <c r="R41" i="2" s="1"/>
  <c r="P35" i="2"/>
  <c r="P41" i="2" s="1"/>
  <c r="N35" i="2"/>
  <c r="N41" i="2" s="1"/>
  <c r="L35" i="2"/>
  <c r="AF35" i="2" s="1"/>
  <c r="V33" i="2"/>
  <c r="AF32" i="2"/>
  <c r="AD31" i="2"/>
  <c r="AB31" i="2"/>
  <c r="Z31" i="2"/>
  <c r="X31" i="2"/>
  <c r="V31" i="2"/>
  <c r="T31" i="2"/>
  <c r="R31" i="2"/>
  <c r="P31" i="2"/>
  <c r="N31" i="2"/>
  <c r="L31" i="2"/>
  <c r="AF31" i="2" s="1"/>
  <c r="AD30" i="2"/>
  <c r="AB30" i="2"/>
  <c r="Z30" i="2"/>
  <c r="X30" i="2"/>
  <c r="V30" i="2"/>
  <c r="T30" i="2"/>
  <c r="R30" i="2"/>
  <c r="P30" i="2"/>
  <c r="N30" i="2"/>
  <c r="L30" i="2"/>
  <c r="AF30" i="2" s="1"/>
  <c r="AD29" i="2"/>
  <c r="AB29" i="2"/>
  <c r="Z29" i="2"/>
  <c r="X29" i="2"/>
  <c r="V29" i="2"/>
  <c r="T29" i="2"/>
  <c r="R29" i="2"/>
  <c r="P29" i="2"/>
  <c r="N29" i="2"/>
  <c r="AF29" i="2" s="1"/>
  <c r="L29" i="2"/>
  <c r="AD28" i="2"/>
  <c r="AD33" i="2" s="1"/>
  <c r="AB28" i="2"/>
  <c r="AB33" i="2" s="1"/>
  <c r="Z28" i="2"/>
  <c r="Z33" i="2" s="1"/>
  <c r="X28" i="2"/>
  <c r="X33" i="2" s="1"/>
  <c r="V28" i="2"/>
  <c r="T28" i="2"/>
  <c r="T33" i="2" s="1"/>
  <c r="R28" i="2"/>
  <c r="R33" i="2" s="1"/>
  <c r="P28" i="2"/>
  <c r="P33" i="2" s="1"/>
  <c r="N28" i="2"/>
  <c r="N33" i="2" s="1"/>
  <c r="L28" i="2"/>
  <c r="L33" i="2" s="1"/>
  <c r="AK24" i="2"/>
  <c r="AD22" i="2"/>
  <c r="AD24" i="2" s="1"/>
  <c r="AD25" i="2" s="1"/>
  <c r="AD21" i="2"/>
  <c r="Z21" i="2"/>
  <c r="Z22" i="2" s="1"/>
  <c r="X21" i="2"/>
  <c r="X22" i="2" s="1"/>
  <c r="V21" i="2"/>
  <c r="V22" i="2" s="1"/>
  <c r="T21" i="2"/>
  <c r="T22" i="2" s="1"/>
  <c r="T24" i="2" s="1"/>
  <c r="T25" i="2" s="1"/>
  <c r="AD20" i="2"/>
  <c r="AB20" i="2"/>
  <c r="AB21" i="2" s="1"/>
  <c r="AB22" i="2" s="1"/>
  <c r="Z20" i="2"/>
  <c r="X20" i="2"/>
  <c r="V20" i="2"/>
  <c r="T20" i="2"/>
  <c r="R20" i="2"/>
  <c r="R21" i="2" s="1"/>
  <c r="R22" i="2" s="1"/>
  <c r="P20" i="2"/>
  <c r="P21" i="2" s="1"/>
  <c r="P22" i="2" s="1"/>
  <c r="N20" i="2"/>
  <c r="N21" i="2" s="1"/>
  <c r="N22" i="2" s="1"/>
  <c r="N24" i="2" s="1"/>
  <c r="N25" i="2" s="1"/>
  <c r="L20" i="2"/>
  <c r="L21" i="2" s="1"/>
  <c r="L22" i="2" s="1"/>
  <c r="L24" i="2" s="1"/>
  <c r="L25" i="2" s="1"/>
  <c r="AF17" i="2"/>
  <c r="AD17" i="2"/>
  <c r="AB17" i="2"/>
  <c r="Z17" i="2"/>
  <c r="X17" i="2"/>
  <c r="V17" i="2"/>
  <c r="T17" i="2"/>
  <c r="R17" i="2"/>
  <c r="P17" i="2"/>
  <c r="N17" i="2"/>
  <c r="L17" i="2"/>
  <c r="AF16" i="2"/>
  <c r="AF15" i="2"/>
  <c r="AD13" i="2"/>
  <c r="AD46" i="2" s="1"/>
  <c r="AD53" i="2" s="1"/>
  <c r="T13" i="2"/>
  <c r="T46" i="2" s="1"/>
  <c r="T53" i="2" s="1"/>
  <c r="T12" i="2"/>
  <c r="AF12" i="2" s="1"/>
  <c r="AD11" i="2"/>
  <c r="AB11" i="2"/>
  <c r="AB13" i="2" s="1"/>
  <c r="AB46" i="2" s="1"/>
  <c r="AB53" i="2" s="1"/>
  <c r="Z11" i="2"/>
  <c r="Z13" i="2" s="1"/>
  <c r="Z46" i="2" s="1"/>
  <c r="Z53" i="2" s="1"/>
  <c r="X11" i="2"/>
  <c r="X13" i="2" s="1"/>
  <c r="X46" i="2" s="1"/>
  <c r="X53" i="2" s="1"/>
  <c r="V11" i="2"/>
  <c r="V13" i="2" s="1"/>
  <c r="V46" i="2" s="1"/>
  <c r="V53" i="2" s="1"/>
  <c r="T11" i="2"/>
  <c r="R11" i="2"/>
  <c r="R13" i="2" s="1"/>
  <c r="R46" i="2" s="1"/>
  <c r="R53" i="2" s="1"/>
  <c r="P11" i="2"/>
  <c r="P13" i="2" s="1"/>
  <c r="P46" i="2" s="1"/>
  <c r="P53" i="2" s="1"/>
  <c r="N11" i="2"/>
  <c r="N13" i="2" s="1"/>
  <c r="N46" i="2" s="1"/>
  <c r="L11" i="2"/>
  <c r="L13" i="2" s="1"/>
  <c r="AF8" i="2"/>
  <c r="AF9" i="2" s="1"/>
  <c r="L6" i="2"/>
  <c r="AF5" i="2"/>
  <c r="AF6" i="2" s="1"/>
  <c r="E117" i="1"/>
  <c r="D117" i="1"/>
  <c r="C117" i="1"/>
  <c r="F114" i="1"/>
  <c r="F109" i="1"/>
  <c r="B102" i="1"/>
  <c r="B101" i="1"/>
  <c r="B100" i="1"/>
  <c r="I99" i="1"/>
  <c r="H99" i="1"/>
  <c r="G99" i="1"/>
  <c r="F99" i="1"/>
  <c r="E99" i="1"/>
  <c r="D99" i="1"/>
  <c r="C99" i="1"/>
  <c r="B99" i="1"/>
  <c r="E98" i="1"/>
  <c r="D98" i="1"/>
  <c r="C98" i="1"/>
  <c r="B98" i="1"/>
  <c r="I96" i="1"/>
  <c r="H96" i="1"/>
  <c r="G96" i="1"/>
  <c r="F96" i="1"/>
  <c r="E96" i="1"/>
  <c r="D96" i="1"/>
  <c r="C96" i="1"/>
  <c r="F87" i="1"/>
  <c r="F86" i="1"/>
  <c r="F85" i="1"/>
  <c r="G85" i="1" s="1"/>
  <c r="H85" i="1" s="1"/>
  <c r="I85" i="1" s="1"/>
  <c r="D83" i="1"/>
  <c r="D82" i="1"/>
  <c r="F81" i="1"/>
  <c r="I80" i="1"/>
  <c r="H80" i="1"/>
  <c r="G80" i="1"/>
  <c r="D80" i="1"/>
  <c r="D79" i="1"/>
  <c r="F78" i="1"/>
  <c r="D77" i="1"/>
  <c r="D26" i="4"/>
  <c r="D74" i="1"/>
  <c r="C44" i="1"/>
  <c r="B44" i="1"/>
  <c r="C101" i="1" s="1"/>
  <c r="D44" i="1"/>
  <c r="E44" i="1"/>
  <c r="B26" i="1"/>
  <c r="F21" i="1"/>
  <c r="B21" i="1"/>
  <c r="B17" i="1"/>
  <c r="Q14" i="1"/>
  <c r="Q13" i="1"/>
  <c r="F17" i="1"/>
  <c r="Q12" i="1"/>
  <c r="Q11" i="1"/>
  <c r="D92" i="1" l="1"/>
  <c r="D22" i="1" s="1"/>
  <c r="D28" i="1" s="1"/>
  <c r="C28" i="1"/>
  <c r="D101" i="1"/>
  <c r="C17" i="1"/>
  <c r="D100" i="1" s="1"/>
  <c r="B28" i="1"/>
  <c r="B31" i="1" s="1"/>
  <c r="B49" i="1" s="1"/>
  <c r="B53" i="1" s="1"/>
  <c r="C51" i="1" s="1"/>
  <c r="C102" i="1" s="1"/>
  <c r="E101" i="1"/>
  <c r="F117" i="1"/>
  <c r="F88" i="1"/>
  <c r="G88" i="1" s="1"/>
  <c r="H88" i="1" s="1"/>
  <c r="I88" i="1" s="1"/>
  <c r="D41" i="4"/>
  <c r="D42" i="4"/>
  <c r="F20" i="1"/>
  <c r="G20" i="1" s="1"/>
  <c r="H79" i="1"/>
  <c r="I79" i="1" s="1"/>
  <c r="D31" i="4"/>
  <c r="F90" i="1"/>
  <c r="G90" i="1" s="1"/>
  <c r="H90" i="1" s="1"/>
  <c r="I90" i="1" s="1"/>
  <c r="D35" i="4"/>
  <c r="F75" i="1"/>
  <c r="G75" i="1" s="1"/>
  <c r="H75" i="1" s="1"/>
  <c r="I75" i="1" s="1"/>
  <c r="D27" i="4"/>
  <c r="F91" i="1"/>
  <c r="G91" i="1" s="1"/>
  <c r="H91" i="1" s="1"/>
  <c r="I91" i="1" s="1"/>
  <c r="D44" i="4"/>
  <c r="F80" i="1"/>
  <c r="D32" i="4"/>
  <c r="F82" i="1"/>
  <c r="G82" i="1" s="1"/>
  <c r="H82" i="1" s="1"/>
  <c r="I82" i="1" s="1"/>
  <c r="D34" i="4"/>
  <c r="D36" i="4"/>
  <c r="F84" i="1"/>
  <c r="G84" i="1" s="1"/>
  <c r="D37" i="4"/>
  <c r="F76" i="1"/>
  <c r="D28" i="4"/>
  <c r="F77" i="1"/>
  <c r="D29" i="4"/>
  <c r="E22" i="1"/>
  <c r="E28" i="1" s="1"/>
  <c r="D17" i="1"/>
  <c r="C100" i="1"/>
  <c r="E17" i="1"/>
  <c r="F100" i="1" s="1"/>
  <c r="Z24" i="2"/>
  <c r="Z25" i="2" s="1"/>
  <c r="P24" i="2"/>
  <c r="P25" i="2" s="1"/>
  <c r="R24" i="2"/>
  <c r="R25" i="2" s="1"/>
  <c r="P105" i="2"/>
  <c r="R105" i="2"/>
  <c r="T105" i="2"/>
  <c r="T106" i="2" s="1"/>
  <c r="T107" i="2" s="1"/>
  <c r="AF46" i="2"/>
  <c r="AF53" i="2" s="1"/>
  <c r="N53" i="2"/>
  <c r="N105" i="2" s="1"/>
  <c r="N106" i="2" s="1"/>
  <c r="N107" i="2" s="1"/>
  <c r="Z105" i="2"/>
  <c r="AJ33" i="2"/>
  <c r="V105" i="2"/>
  <c r="AB105" i="2"/>
  <c r="AB24" i="2"/>
  <c r="AB25" i="2" s="1"/>
  <c r="AB106" i="2" s="1"/>
  <c r="AB107" i="2" s="1"/>
  <c r="V24" i="2"/>
  <c r="V25" i="2" s="1"/>
  <c r="V106" i="2" s="1"/>
  <c r="V107" i="2" s="1"/>
  <c r="AD105" i="2"/>
  <c r="AD106" i="2" s="1"/>
  <c r="AD107" i="2" s="1"/>
  <c r="X24" i="2"/>
  <c r="X25" i="2" s="1"/>
  <c r="X106" i="2" s="1"/>
  <c r="X107" i="2" s="1"/>
  <c r="AF37" i="2"/>
  <c r="AF41" i="2" s="1"/>
  <c r="AF11" i="2"/>
  <c r="AF13" i="2" s="1"/>
  <c r="AH11" i="2" s="1"/>
  <c r="AH14" i="2" s="1"/>
  <c r="AH16" i="2" s="1"/>
  <c r="AF28" i="2"/>
  <c r="AF33" i="2" s="1"/>
  <c r="AF74" i="2"/>
  <c r="AF76" i="2" s="1"/>
  <c r="AF58" i="2"/>
  <c r="AF59" i="2" s="1"/>
  <c r="L41" i="2"/>
  <c r="L105" i="2" s="1"/>
  <c r="AF20" i="2"/>
  <c r="AF21" i="2" s="1"/>
  <c r="AF22" i="2" s="1"/>
  <c r="AF78" i="2"/>
  <c r="AF79" i="2" s="1"/>
  <c r="G44" i="1"/>
  <c r="G98" i="1"/>
  <c r="F98" i="1"/>
  <c r="F44" i="1"/>
  <c r="F101" i="1" s="1"/>
  <c r="C31" i="1" l="1"/>
  <c r="C49" i="1" s="1"/>
  <c r="C53" i="1" s="1"/>
  <c r="D51" i="1" s="1"/>
  <c r="D102" i="1" s="1"/>
  <c r="D31" i="1"/>
  <c r="D97" i="1" s="1"/>
  <c r="B97" i="1"/>
  <c r="D45" i="4"/>
  <c r="E31" i="1"/>
  <c r="E97" i="1" s="1"/>
  <c r="E100" i="1"/>
  <c r="G101" i="1"/>
  <c r="L106" i="2"/>
  <c r="L107" i="2" s="1"/>
  <c r="AF105" i="2"/>
  <c r="R106" i="2"/>
  <c r="R107" i="2" s="1"/>
  <c r="AF24" i="2"/>
  <c r="AF106" i="2" s="1"/>
  <c r="AF107" i="2" s="1"/>
  <c r="AF110" i="2" s="1"/>
  <c r="P106" i="2"/>
  <c r="P107" i="2" s="1"/>
  <c r="AF25" i="2"/>
  <c r="Z106" i="2"/>
  <c r="Z107" i="2" s="1"/>
  <c r="I98" i="1"/>
  <c r="H98" i="1"/>
  <c r="H44" i="1"/>
  <c r="H101" i="1" s="1"/>
  <c r="I44" i="1"/>
  <c r="G17" i="1"/>
  <c r="F92" i="1"/>
  <c r="F22" i="1" s="1"/>
  <c r="F28" i="1" s="1"/>
  <c r="F31" i="1" s="1"/>
  <c r="H20" i="1" l="1"/>
  <c r="I20" i="1" s="1"/>
  <c r="G21" i="1"/>
  <c r="H21" i="1" s="1"/>
  <c r="I21" i="1" s="1"/>
  <c r="D49" i="1"/>
  <c r="D53" i="1" s="1"/>
  <c r="E51" i="1" s="1"/>
  <c r="E102" i="1" s="1"/>
  <c r="C97" i="1"/>
  <c r="E49" i="1"/>
  <c r="I101" i="1"/>
  <c r="G92" i="1"/>
  <c r="G22" i="1" s="1"/>
  <c r="I17" i="1"/>
  <c r="H17" i="1"/>
  <c r="G100" i="1"/>
  <c r="F49" i="1"/>
  <c r="F97" i="1"/>
  <c r="G28" i="1" l="1"/>
  <c r="G31" i="1" s="1"/>
  <c r="G97" i="1" s="1"/>
  <c r="I100" i="1"/>
  <c r="E53" i="1"/>
  <c r="F51" i="1" s="1"/>
  <c r="F102" i="1" s="1"/>
  <c r="H100" i="1"/>
  <c r="I92" i="1"/>
  <c r="I22" i="1" s="1"/>
  <c r="I28" i="1" s="1"/>
  <c r="I31" i="1" s="1"/>
  <c r="H92" i="1"/>
  <c r="H22" i="1" s="1"/>
  <c r="H28" i="1" s="1"/>
  <c r="H31" i="1" s="1"/>
  <c r="G49" i="1" l="1"/>
  <c r="H97" i="1"/>
  <c r="H49" i="1"/>
  <c r="I49" i="1"/>
  <c r="I97" i="1"/>
  <c r="F53" i="1"/>
  <c r="G51" i="1" s="1"/>
  <c r="G102" i="1" s="1"/>
  <c r="G53" i="1" l="1"/>
  <c r="H51" i="1" s="1"/>
  <c r="H102" i="1" s="1"/>
  <c r="H53" i="1" l="1"/>
  <c r="I51" i="1" s="1"/>
  <c r="I102" i="1" l="1"/>
  <c r="I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tc={A2CB6B9F-101F-44CA-A5F7-AB7354DBB019}</author>
    <author>tc={638DBC69-9542-4B1D-9B0C-AD57A9468264}</author>
    <author>tc={7C7EB3E1-DD94-4F91-95C4-F1CC2F2C6260}</author>
    <author>tc={7A296957-F955-43A1-A063-E06B130BEC66}</author>
  </authors>
  <commentList>
    <comment ref="B21" authorId="0" shapeId="0" xr:uid="{A2CB6B9F-101F-44CA-A5F7-AB7354DBB01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gaap accruals to ensure fund cash balance agrees to audit report
</t>
      </text>
    </comment>
    <comment ref="C21" authorId="1" shapeId="0" xr:uid="{638DBC69-9542-4B1D-9B0C-AD57A946826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to reflect cash balance at fy 22
</t>
      </text>
    </comment>
    <comment ref="D21" authorId="2" shapeId="0" xr:uid="{7C7EB3E1-DD94-4F91-95C4-F1CC2F2C62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to reflect cash balance at fy 22
</t>
      </text>
    </comment>
    <comment ref="E35" authorId="3" shapeId="0" xr:uid="{7A296957-F955-43A1-A063-E06B130BEC66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foundation as of April 2023
Revised per foundation as of March 2024</t>
      </text>
    </comment>
  </commentList>
</comments>
</file>

<file path=xl/sharedStrings.xml><?xml version="1.0" encoding="utf-8"?>
<sst xmlns="http://schemas.openxmlformats.org/spreadsheetml/2006/main" count="679" uniqueCount="424">
  <si>
    <t>IRN No.: 014904</t>
  </si>
  <si>
    <t>County:</t>
  </si>
  <si>
    <t>Cuyahoga</t>
  </si>
  <si>
    <t>Type of School: Community</t>
  </si>
  <si>
    <t>Contract Term: 6/30/24</t>
  </si>
  <si>
    <t>School Name:</t>
  </si>
  <si>
    <t>T2 Honors Academy</t>
  </si>
  <si>
    <t>Statement of Receipt, Disbursements, and Changes in Fund Cash Balances</t>
  </si>
  <si>
    <t>For the Fiscal Years Ended 2021 through 2023, Actual and</t>
  </si>
  <si>
    <t>the Fiscal Years Ending 2024 through 2028, Forecasted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</si>
  <si>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</si>
  <si>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</si>
  <si>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</si>
  <si>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</si>
  <si>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</si>
  <si>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</si>
  <si>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</si>
  <si>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</si>
  <si>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</si>
  <si>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</si>
  <si>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</si>
  <si>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</si>
  <si>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</si>
  <si>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</si>
  <si>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</si>
  <si>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</si>
  <si>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</si>
  <si>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</si>
  <si>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</si>
  <si>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</si>
  <si>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</si>
  <si>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</si>
  <si>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</si>
  <si>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</si>
  <si>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</si>
  <si>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</si>
  <si>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</si>
  <si>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</si>
  <si>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</si>
  <si>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</si>
  <si>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</si>
  <si>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</si>
  <si>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</si>
  <si>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</si>
  <si>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</si>
  <si>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</si>
  <si>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</si>
  <si>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</si>
  <si>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</si>
  <si>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</si>
  <si>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</si>
  <si>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</si>
  <si>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</si>
  <si>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</si>
  <si>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</si>
  <si>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</si>
  <si>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</si>
  <si>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</si>
  <si>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</si>
  <si>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</si>
  <si>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</si>
  <si>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</si>
  <si>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</si>
  <si>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</si>
  <si>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</si>
  <si>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</si>
  <si>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</si>
  <si>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</si>
  <si>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</si>
  <si>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</si>
  <si>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</si>
  <si>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</si>
  <si>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</si>
  <si>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</si>
  <si>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</si>
  <si>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</si>
  <si>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</si>
  <si>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</si>
  <si>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</si>
  <si>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</si>
  <si>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</si>
  <si>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</si>
  <si>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-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</si>
  <si>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</si>
  <si>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</si>
  <si>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</si>
  <si>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</si>
  <si>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</si>
  <si>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</si>
  <si>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</si>
  <si>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Fiscal Year 2024-2028 Projected Debt</t>
  </si>
  <si>
    <t>Description</t>
  </si>
  <si>
    <t>Beginning
Year Balance</t>
  </si>
  <si>
    <t>Principle Retirement</t>
  </si>
  <si>
    <t>Interest Expense</t>
  </si>
  <si>
    <t>Ending
Year Balance</t>
  </si>
  <si>
    <t>Debtor/
Creditor</t>
  </si>
  <si>
    <t>FTE Review</t>
  </si>
  <si>
    <t>Loan A</t>
  </si>
  <si>
    <t>PPP Loan/Grant</t>
  </si>
  <si>
    <t>Line of Credit</t>
  </si>
  <si>
    <t>Notes, Bonds</t>
  </si>
  <si>
    <t>Capital Leases</t>
  </si>
  <si>
    <t>Payables (Past Due 180+ days)</t>
  </si>
  <si>
    <t>Revenues:  Based on FTE enrollment recorded in those</t>
  </si>
  <si>
    <t>actual years.  Enrollment is expected to increase by 3% each year.  Foundation was based on the September 23 settlement report</t>
  </si>
  <si>
    <t>and is expected to increase by 3% for subsequent years based on the enrollment increase.</t>
  </si>
  <si>
    <t>Federal funding is based upon allocations noted within</t>
  </si>
  <si>
    <t xml:space="preserve">the ccip on ODEs website.  </t>
  </si>
  <si>
    <t>Salaries - based upon current year contracts with employees and jump in salaries to meet industry standards</t>
  </si>
  <si>
    <t>Benefits - based upon employee and employer share of retirement,and other taxes, and expenses associated with</t>
  </si>
  <si>
    <t>payroll plus 3.0% increase based upon salary increases.  In addition medical insurance was added</t>
  </si>
  <si>
    <t>Rent - includes monthly rental fees for the building, copier, and gym/ and or other rentals for extracurricular activities.</t>
  </si>
  <si>
    <t xml:space="preserve">constant amounts budgeted </t>
  </si>
  <si>
    <t>Utilities - based upon the previous year, we increased the utilities that are electric, gas, water and sewer based upon the</t>
  </si>
  <si>
    <t>fact that we have seen a rise in costs in the winter for electric over the past years.  In addtion, the building is old and not</t>
  </si>
  <si>
    <t xml:space="preserve">properly insultated, therefore, increased costs have been budgeted.  Lastly, preventative measures such as leaks could </t>
  </si>
  <si>
    <t>cause a rise in water and sewer costs in addtion to increased water and sewer rates.  To date, we have no knowledge as</t>
  </si>
  <si>
    <t>to whether the rates will increase, however we increased expenditures by 1%</t>
  </si>
  <si>
    <t>Other Facility Costs - includes costs associated with maintenance of the building.  These costs include cleaning,garbage removal</t>
  </si>
  <si>
    <t>services, as well as repair and maintenance services such as painting, repairs in the building and pest control, snow plowing, security and lawncare.</t>
  </si>
  <si>
    <t>Insurance - liability and Director and Officers insurance.  The amounts for FY 24 were based on actual expenses and the amounts</t>
  </si>
  <si>
    <t>for the future were based current policy with no changes for future years</t>
  </si>
  <si>
    <t>This line item is recorded in the books as an 800 object code rather than an 400 object code.  For purposes of this forecast, we have</t>
  </si>
  <si>
    <t xml:space="preserve">added to the purchase service line item. </t>
  </si>
  <si>
    <t>Sponsor Fees - ODE is the sponsor that charges a 3% fee of state foundation.  This number was generated from the monthly setlement reports</t>
  </si>
  <si>
    <t xml:space="preserve">based upon the number of kids enrolled.  </t>
  </si>
  <si>
    <t>Audit Fees - based upon estimate from the auditors office, anticipate these expenditures to increase due to historical audit bills for years beyond FY 24</t>
  </si>
  <si>
    <t>we have classified this line item as a purchased service.</t>
  </si>
  <si>
    <t>Rent - increased by estimated 10% as the current lease expires in June 2024.</t>
  </si>
  <si>
    <t xml:space="preserve">Marketing - advertisment  to reach the community in enrolling in the school.  Supplies were not included in this line item as these are </t>
  </si>
  <si>
    <t xml:space="preserve">a 500 object code.  Advertisement is 400 object code.  </t>
  </si>
  <si>
    <t>Legal - For FY 24 legal expenses were budgeted based upon historical data.  Limited to 5k per year but not all inclusive.</t>
  </si>
  <si>
    <t>FY 23 was based on current expenses and are expected to remain constant for future years.</t>
  </si>
  <si>
    <t>Mangement Fee - N/A</t>
  </si>
  <si>
    <t>Contingency - N/A</t>
  </si>
  <si>
    <t>Special Education Services - contracted vendors for related special ed services.</t>
  </si>
  <si>
    <t xml:space="preserve">Technology services - EMIS contracted services is based on flat rate established by the vendor.  </t>
  </si>
  <si>
    <t>A site was based on contract.  Included tech support within this line item.</t>
  </si>
  <si>
    <t xml:space="preserve">Food Service - contract food vendor based upon rate established by the vendor.  </t>
  </si>
  <si>
    <t>Other Purchased Services -  all other purchased service catergories such as internet, postage, website maintence, copier overages were based</t>
  </si>
  <si>
    <t>upon actual expenses.  No anticipated increases.</t>
  </si>
  <si>
    <t>Consulting - contracted instructional, fiscal, professional development, and counseling services with rates set by vendors.  Reduced by 45k for years 25-27</t>
  </si>
  <si>
    <t>due to a reduction in federal dollars.</t>
  </si>
  <si>
    <t>Supplies - instructional, janitorial, and office supplies will remain constant due to reduction in federal grant dollars.</t>
  </si>
  <si>
    <t>Jul 23</t>
  </si>
  <si>
    <t>Aug 23</t>
  </si>
  <si>
    <t>Sep 23</t>
  </si>
  <si>
    <t>Oct 23</t>
  </si>
  <si>
    <t>Nov 23</t>
  </si>
  <si>
    <t>Dec 23</t>
  </si>
  <si>
    <t>Jan 24</t>
  </si>
  <si>
    <t>Feb 24</t>
  </si>
  <si>
    <t>Mar 24</t>
  </si>
  <si>
    <t>Apr 24</t>
  </si>
  <si>
    <t>May 24</t>
  </si>
  <si>
    <t>Jun 24</t>
  </si>
  <si>
    <t>TOTAL</t>
  </si>
  <si>
    <t>Ordinary Income/Expense</t>
  </si>
  <si>
    <t>Income</t>
  </si>
  <si>
    <t>1700 · Classroom Materials and Fees</t>
  </si>
  <si>
    <t>1710 · Classroom Supply</t>
  </si>
  <si>
    <t>Total 1700 · Classroom Materials and Fees</t>
  </si>
  <si>
    <t>1800 · Miscellaneous Receipts</t>
  </si>
  <si>
    <t>1890 · Miscellaneous Receipts</t>
  </si>
  <si>
    <t>Total 1800 · Miscellaneous Receipts</t>
  </si>
  <si>
    <t>3100 · Unrestricted Grants in Aid</t>
  </si>
  <si>
    <t>3110 · Foundation</t>
  </si>
  <si>
    <t>3190 · Casino Tax/Facilities Funding</t>
  </si>
  <si>
    <t>Total 3100 · Unrestricted Grants in Aid</t>
  </si>
  <si>
    <t>3200 · Restricted Grants in Aid</t>
  </si>
  <si>
    <t>3211 · Economic Disadvantaged Funding</t>
  </si>
  <si>
    <t>3218 · Student Wellness</t>
  </si>
  <si>
    <t>Total 3200 · Restricted Grants in Aid</t>
  </si>
  <si>
    <t>4000 · Receipts from Federal Sources</t>
  </si>
  <si>
    <t>4200 · Restricted Grants in Aid</t>
  </si>
  <si>
    <t>4220 · Restricted Grants in Aid</t>
  </si>
  <si>
    <t>Total federal from Arp and consolidated</t>
  </si>
  <si>
    <t>Total 4200 · Restricted Grants in Aid</t>
  </si>
  <si>
    <t>Total 4000 · Receipts from Federal Sources</t>
  </si>
  <si>
    <t>5300 · Refund</t>
  </si>
  <si>
    <t>Total Income</t>
  </si>
  <si>
    <t>Gross Profit</t>
  </si>
  <si>
    <t>Expense</t>
  </si>
  <si>
    <t>100 · Salaries</t>
  </si>
  <si>
    <t>1111120 · Teachers</t>
  </si>
  <si>
    <t>1111249 · Intervention Specialist</t>
  </si>
  <si>
    <t>1112411 · Superintendent</t>
  </si>
  <si>
    <t>1412129 · Support Services Pupils</t>
  </si>
  <si>
    <t>1412419 · Secretary</t>
  </si>
  <si>
    <t>Total 100 · Salaries</t>
  </si>
  <si>
    <t>200 · Benefits</t>
  </si>
  <si>
    <t>2111190 · STRS Employers Match</t>
  </si>
  <si>
    <t>2121190 · Medical Insurance Employer</t>
  </si>
  <si>
    <t>2131190 · Medical Insurance Employee</t>
  </si>
  <si>
    <t>2211190 · SERS Employers Match</t>
  </si>
  <si>
    <t>2491132 · Medicare Match</t>
  </si>
  <si>
    <t>2611132 · BWC</t>
  </si>
  <si>
    <t>Total 200 · Benefits</t>
  </si>
  <si>
    <t>400 · Purchased Services</t>
  </si>
  <si>
    <t>4111110 · Instruction Services</t>
  </si>
  <si>
    <t xml:space="preserve">Prestigeious, nicole, </t>
  </si>
  <si>
    <t>4132190 · Support Services</t>
  </si>
  <si>
    <t>4131290 · Special Education Services</t>
  </si>
  <si>
    <t>4152310 · Sponsorship Fees</t>
  </si>
  <si>
    <t>4162419 · Data Processing Services</t>
  </si>
  <si>
    <t>4182419 · Professional/Legal Services</t>
  </si>
  <si>
    <t>4182510 · Accounting &amp; Auditing</t>
  </si>
  <si>
    <t>4192419 · Other Professiona/Tech Services</t>
  </si>
  <si>
    <t>4232790 · Safety Services</t>
  </si>
  <si>
    <t>4992411 · Board Stipends</t>
  </si>
  <si>
    <t>Total 400 · Purchased Services</t>
  </si>
  <si>
    <t>420 · Property Services</t>
  </si>
  <si>
    <t>4222411 · Garbage Removal Cleaning Servi</t>
  </si>
  <si>
    <t>4232419 · Repairs and Maintenance Service</t>
  </si>
  <si>
    <t>4252419 · Rentals</t>
  </si>
  <si>
    <t>4262411 · Lease-Purchase Agreements</t>
  </si>
  <si>
    <t>New lease agreement effective10.1.23 in addition to the 130 per month</t>
  </si>
  <si>
    <t>Total 420 · Property Services</t>
  </si>
  <si>
    <t>430 · Travel Mileage/Meeting Expense</t>
  </si>
  <si>
    <t>4392411 · Travel/Meeting Expense</t>
  </si>
  <si>
    <t>Total 430 · Travel Mileage/Meeting Expense</t>
  </si>
  <si>
    <t>440 · Communications</t>
  </si>
  <si>
    <t>4462419 · Advertising</t>
  </si>
  <si>
    <t>4472419 · Internet Service</t>
  </si>
  <si>
    <t>Total 440 · Communications</t>
  </si>
  <si>
    <t>450 · Utilities</t>
  </si>
  <si>
    <t>4512419 · Electricity</t>
  </si>
  <si>
    <t>4522419 · Water and Sewerage</t>
  </si>
  <si>
    <t>4532419 · Gas</t>
  </si>
  <si>
    <t>450 · Utilities - Other</t>
  </si>
  <si>
    <t>Total 450 · Utilities</t>
  </si>
  <si>
    <t>460 · Contracted Services</t>
  </si>
  <si>
    <t>4612419 · Printing and Binding</t>
  </si>
  <si>
    <t>4622419 · Contracted Food Service</t>
  </si>
  <si>
    <t>Total 460 · Contracted Services</t>
  </si>
  <si>
    <t>480 · Pupil Transportation</t>
  </si>
  <si>
    <t>4892822 · Other Pupil Transportation</t>
  </si>
  <si>
    <t>Total 480 · Pupil Transportation</t>
  </si>
  <si>
    <t>500 · Supplies and Materials</t>
  </si>
  <si>
    <t>510 · General Supplies</t>
  </si>
  <si>
    <t>5111120 · Classroom Supplies</t>
  </si>
  <si>
    <t>5113290 · Family/Community Supplies</t>
  </si>
  <si>
    <t>5121120 · Office Supplies</t>
  </si>
  <si>
    <t>5141120 · Health and Hygiene Supplies</t>
  </si>
  <si>
    <t>Total 510 · General Supplies</t>
  </si>
  <si>
    <t>Total 500 · Supplies and Materials</t>
  </si>
  <si>
    <t>520 · Textbooks</t>
  </si>
  <si>
    <t>5241120 · Supplemental Textbooks</t>
  </si>
  <si>
    <t>Total 520 · Textbooks</t>
  </si>
  <si>
    <t>560 · Food and Related Supplies</t>
  </si>
  <si>
    <t>5691120 · Food Related Supplies</t>
  </si>
  <si>
    <t>Total 560 · Food and Related Supplies</t>
  </si>
  <si>
    <t>570 · Supplies and Materials Repair</t>
  </si>
  <si>
    <t>5721120 · Building Supplies</t>
  </si>
  <si>
    <t>Total 570 · Supplies and Materials Repair</t>
  </si>
  <si>
    <t>66000 · Payroll Expenses</t>
  </si>
  <si>
    <t>800 · Other Objects</t>
  </si>
  <si>
    <t>8412490 · Memberships</t>
  </si>
  <si>
    <t>8432560 · Audit Fees</t>
  </si>
  <si>
    <t>8482310 · Bank Charges</t>
  </si>
  <si>
    <t>8492590 · Other Dues and Fees</t>
  </si>
  <si>
    <t>8512590 · Liability Insurance</t>
  </si>
  <si>
    <t>Total 800 · Other Objects</t>
  </si>
  <si>
    <t>Total Expense</t>
  </si>
  <si>
    <t>Net Ordinary Income</t>
  </si>
  <si>
    <t>Net Income</t>
  </si>
  <si>
    <t>Community School Budget</t>
  </si>
  <si>
    <t>IRN No.</t>
  </si>
  <si>
    <t>Function</t>
  </si>
  <si>
    <t>Instruction
1000</t>
  </si>
  <si>
    <t>Support Services
2100-2200</t>
  </si>
  <si>
    <t>Administrative Services
2300 -2400</t>
  </si>
  <si>
    <t>Fiscal/Business Services
2500-2600</t>
  </si>
  <si>
    <t>Operations &amp; Maintenance
2700</t>
  </si>
  <si>
    <t>Pupil Transportation
2800</t>
  </si>
  <si>
    <t>Support/Food Services
2900-3100</t>
  </si>
  <si>
    <t>Extracurricular Activities
4000</t>
  </si>
  <si>
    <t>Facilities/
Construction Services
5000</t>
  </si>
  <si>
    <t>All Other 
Expense
6000-7000</t>
  </si>
  <si>
    <t>Object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</si>
  <si>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</si>
  <si>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</si>
  <si>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</si>
  <si>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</si>
  <si>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</si>
  <si>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</si>
  <si>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</si>
  <si>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</si>
  <si>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</si>
  <si>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</si>
  <si>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</si>
  <si>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Salaries
100</t>
  </si>
  <si>
    <t>Retirement Fringe Benefits
200</t>
  </si>
  <si>
    <t>Purchased Services
400</t>
  </si>
  <si>
    <t>Supplies
500</t>
  </si>
  <si>
    <t>Capital Outlay
600</t>
  </si>
  <si>
    <t>Other
800</t>
  </si>
  <si>
    <t>Budget Per Pupil</t>
  </si>
  <si>
    <t>Estimated Student Enrollment</t>
  </si>
  <si>
    <t>014904</t>
  </si>
  <si>
    <t>Budget for Fiscal Year 2024</t>
  </si>
  <si>
    <t>In years 27-28, reductioin in salaries will be considered based upon enrollment.</t>
  </si>
  <si>
    <t>Expected Enrollment</t>
  </si>
  <si>
    <t>Grade</t>
  </si>
  <si>
    <t>Students</t>
  </si>
  <si>
    <t>Expected Instructors</t>
  </si>
  <si>
    <t>Staff</t>
  </si>
  <si>
    <t>Expected Administrative Staff</t>
  </si>
  <si>
    <t>All Other Expected Staff</t>
  </si>
  <si>
    <t>Expected Purchased Services</t>
  </si>
  <si>
    <t>Debitor/
Creditor</t>
  </si>
  <si>
    <t>Lake Erie</t>
  </si>
  <si>
    <t>Loan B</t>
  </si>
  <si>
    <t>Audit/Accounting Fees</t>
  </si>
  <si>
    <t>Food Service</t>
  </si>
  <si>
    <t>Narrative Summary</t>
  </si>
  <si>
    <t>Name of sponsor:</t>
  </si>
  <si>
    <t xml:space="preserve">Name of management company: </t>
  </si>
  <si>
    <t>Name of treasurer:</t>
  </si>
  <si>
    <t>Darlene Holt</t>
  </si>
  <si>
    <t>Assumption for the Fiscal Year 2024</t>
  </si>
  <si>
    <t>Fiscal Year 2024-2027 Projected Debt</t>
  </si>
  <si>
    <t>Ohio Department of Education</t>
  </si>
  <si>
    <t>FY24- 05-31-24 submission</t>
  </si>
  <si>
    <t>1600 · Extra Curricular Student Activi</t>
  </si>
  <si>
    <t>1690 · Extra Curricular Activity</t>
  </si>
  <si>
    <t>Total 1600 · Extra Curricular Student Activi</t>
  </si>
  <si>
    <t>1121120 · Substitute Teacher</t>
  </si>
  <si>
    <t>2811132 · Unemployment</t>
  </si>
  <si>
    <t>4152213 · Professional Developement</t>
  </si>
  <si>
    <t>4153290 · Family/Community</t>
  </si>
  <si>
    <t>4182420 · Legal</t>
  </si>
  <si>
    <t>4192139 · Student Wellness Expenses</t>
  </si>
  <si>
    <t>4192149 · Psychological Services</t>
  </si>
  <si>
    <t>4192420 · Rent</t>
  </si>
  <si>
    <t>4232760 · Safety Services</t>
  </si>
  <si>
    <t>4222790 · Garbage Removal Cleaning Servi</t>
  </si>
  <si>
    <t>4232790 · Repairs and Maintenance Service</t>
  </si>
  <si>
    <t>4252790 · Rentals</t>
  </si>
  <si>
    <t>4262790 · Lease-Purchase Agreements</t>
  </si>
  <si>
    <t>4432419 · Postage</t>
  </si>
  <si>
    <t>4472790 · Internet Service</t>
  </si>
  <si>
    <t>4512790 · Electricity</t>
  </si>
  <si>
    <t>4522790 · Water and Sewerage</t>
  </si>
  <si>
    <t>4532790 · Gas</t>
  </si>
  <si>
    <t>4623190 · Contracted Food Service</t>
  </si>
  <si>
    <t>4892890 · Other Pupil Transportation</t>
  </si>
  <si>
    <t>8914590 · Extra Curricular Activities</t>
  </si>
  <si>
    <t>Ohio Department of Education &amp; Workforce</t>
  </si>
  <si>
    <t xml:space="preserve">Office Of Budget and School Funding </t>
  </si>
  <si>
    <t>Summary School Finance Payment Report (SFPR) - Community/STEM School</t>
  </si>
  <si>
    <t>Simulation Calculator for FY2025</t>
  </si>
  <si>
    <t>IRN</t>
  </si>
  <si>
    <t>School</t>
  </si>
  <si>
    <t>Sponsor</t>
  </si>
  <si>
    <t>Office of Ohio School Sponsorship</t>
  </si>
  <si>
    <t>E-School or STEM:</t>
  </si>
  <si>
    <t>No</t>
  </si>
  <si>
    <t>[a] Base State Funding</t>
  </si>
  <si>
    <t>[b] Calculated State Funding</t>
  </si>
  <si>
    <t>[c = (b-a) * %] Phase-in Funding</t>
  </si>
  <si>
    <t>[if F(b) &lt; F(a+c) ,d=b,   else d= (a+c)]              State Funding</t>
  </si>
  <si>
    <t>State Support</t>
  </si>
  <si>
    <t>Base Cost</t>
  </si>
  <si>
    <t>Special Education</t>
  </si>
  <si>
    <t>Disadvantaged Pupil Impact Aid (DPIA)</t>
  </si>
  <si>
    <t>English Learners</t>
  </si>
  <si>
    <t>Career Technical Education</t>
  </si>
  <si>
    <t>Core Foundation Funding [A + B + C + D + E]</t>
  </si>
  <si>
    <t>Equity Supplement</t>
  </si>
  <si>
    <t>Formula Transition Supplement</t>
  </si>
  <si>
    <t>Facilities</t>
  </si>
  <si>
    <t xml:space="preserve">Total State Support [F + G + H + I] </t>
  </si>
  <si>
    <t>Disclosure</t>
  </si>
  <si>
    <t>Base Cost - Student Wellness and Success</t>
  </si>
  <si>
    <t>Phase-in Funding:</t>
  </si>
  <si>
    <t>66.67% phase-in percentage is applied to lines A, B, C, D, E.</t>
  </si>
  <si>
    <t>Based on 100 with cte catergories and spec categories</t>
  </si>
  <si>
    <t>and transporation</t>
  </si>
  <si>
    <t>facilites, casino</t>
  </si>
  <si>
    <t>Career Tech, English Learners, dpia, student wellness</t>
  </si>
  <si>
    <t>base cost, spec ed, formula transition supplement</t>
  </si>
  <si>
    <t>For FY 24, revenues were based upon the March 24 setlement sheet along with the allocations of federal dollars.</t>
  </si>
  <si>
    <t>future dollars for the remainder of the year.</t>
  </si>
  <si>
    <t>For FY 24, expendtiures are outlined below:</t>
  </si>
  <si>
    <t>by at least 1% each year.</t>
  </si>
  <si>
    <t xml:space="preserve">Utilities - based upon the current years expenses projected through the end of the school year.  Years 25 and thereafter, we expect costs to increase  </t>
  </si>
  <si>
    <t xml:space="preserve">  RENT:</t>
  </si>
  <si>
    <t>For FY 25, we utilized the NEW funding calculator for the foundation revenues only.  The foundation figures are included</t>
  </si>
  <si>
    <t>with this forecast based upon 100 ftes</t>
  </si>
  <si>
    <t>NOTE:  These assumptions are based on if the school remains in the same building</t>
  </si>
  <si>
    <t>Miscellaneous and other revenues have been received through March 24 and therefore, we do not anticipate any</t>
  </si>
  <si>
    <t>Other revenues were based upon the facilities funding calculations plus roughly 7k in casino revenues which is average.</t>
  </si>
  <si>
    <t xml:space="preserve">  REVENUES</t>
  </si>
  <si>
    <t>FY 25 - staff will remain the same with a 3% cost of living increase</t>
  </si>
  <si>
    <t>3% cost of living.</t>
  </si>
  <si>
    <t>For FY 27 and 28 - cost of living increase at 3%</t>
  </si>
  <si>
    <t>Benefits - estimated to average 20-25% annually</t>
  </si>
  <si>
    <t xml:space="preserve">  SALARIES</t>
  </si>
  <si>
    <t xml:space="preserve">  BENEFITS</t>
  </si>
  <si>
    <t>For FY 24, rent expense $7,875 per month or $94,500 annually</t>
  </si>
  <si>
    <t>For FY 26, if the school remains in the same building, rent expense will remain the same as FY 25 $126,000 annually.</t>
  </si>
  <si>
    <t>For FY 25, if the school remains in the same building, rent expense will increase to $10,500 per month or $126,000 annually</t>
  </si>
  <si>
    <t>For FY 27/FY 28, if the school remains in the same building, rent expense will increase for the next two years to $10,815 per month or $129,780.</t>
  </si>
  <si>
    <t xml:space="preserve">Marketing - advertisment  to reach the community in enrolling in the school.  </t>
  </si>
  <si>
    <t>Estimated costs based on FY 24 expense will increase for subsequent years as to market for additional students.</t>
  </si>
  <si>
    <t>Legal - For FY 24 legal expenses were budgeted based upon actual expense.  FY 25 will remain the same due to contractual items needing reviewed</t>
  </si>
  <si>
    <t>Consulting - contracted instructional, fiscal, professional development, and counseling services with rates set by vendors.  Increased by 1%  for all years 25-28</t>
  </si>
  <si>
    <t>FY 22 ADDITIONAL NOTES per Rebecca</t>
  </si>
  <si>
    <t>The forecast is technically a cash budget, however, we were informed to change the FY 22 column to agree to the FY 22 released audit.  Unfortantly, in order to get</t>
  </si>
  <si>
    <t>the financials to tie, we have included an adjustment in the Transfer out line item of $79K in order for the cash balance to agree to the released report.</t>
  </si>
  <si>
    <t>There was NO transfer, it was adjustments made due to the implementation of GASBs.</t>
  </si>
  <si>
    <t>In addition, with the implementation of GASB 87, the rent expense will not be reflected on the income statement as in years' past.  It is now a balance sheet item</t>
  </si>
  <si>
    <t>shown in the format of ST/LT lease payable.</t>
  </si>
  <si>
    <t>Based on 150 with cte catergories and spec categories</t>
  </si>
  <si>
    <t>For FY 26, we utilized the NEW funding calculator for the foundation revenues only.  The foundation figures are included</t>
  </si>
  <si>
    <t>with this forecast based upon 150 ftes.</t>
  </si>
  <si>
    <t>For FY 27 and 28, we left the revenues the same as FY 26 due to building capacity at 150 ftes</t>
  </si>
  <si>
    <t>FY 26 - staff to increase by 2 teachers with an estimated base salary of 45k each and 1 secretary at 40k. All other existing staff members to receive</t>
  </si>
  <si>
    <t>FY 25 and beyond will be up to 6k annually</t>
  </si>
  <si>
    <t xml:space="preserve">Supplies - instructional, janitorial, and office supplies will remain constant for subsequent years upon the recommendation of sponsor though FY 25. </t>
  </si>
  <si>
    <t>Thereafter, should increase with the increase in enrollment</t>
  </si>
  <si>
    <t>Also the FY 23 figures are based on the financials submitted to Hinkle yet are unaudited.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</si>
</sst>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00_);\(#,##0.0000\)"/>
    <numFmt numFmtId="167" formatCode="#,##0.00;\-#,##0.00"/>
    <numFmt numFmtId="168" formatCode="#,##0.0000000000_);\(#,##0.0000000000\)"/>
    <numFmt numFmtId="169" formatCode="#,##0.000000000_);\(#,##0.000000000\)"/>
    <numFmt numFmtId="170" formatCode="&quot;$&quot;#,##0.00"/>
    <numFmt numFmtId="171" formatCode="#,##0.0_);\(#,##0.0\)"/>
    <numFmt numFmtId="172" formatCode="#,##0.000_);\(#,##0.000\)"/>
    <numFmt numFmtId="173" formatCode="00000"/>
    <numFmt numFmtId="174" formatCode="&quot;$&quot;#,##0"/>
    <numFmt numFmtId="175" formatCode="#,##0.00000_);\(#,##0.00000\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323232"/>
      <name val="Arial"/>
      <family val="2"/>
    </font>
    <font>
      <sz val="10"/>
      <color rgb="FF32323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b/>
      <sz val="11"/>
      <color theme="0" tint="-4.9989318521683403E-2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b/>
      <sz val="11"/>
      <color theme="0"/>
      <name val="Calibri"/>
      <family val="2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</font>
    <font>
      <sz val="11"/>
      <color rgb="FF333333"/>
      <name val="Calibri"/>
      <family val="2"/>
      <scheme val="minor"/>
    </font>
    <font>
      <b/>
      <sz val="10.5"/>
      <name val="Calibri"/>
      <family val="2"/>
    </font>
    <font>
      <sz val="10.5"/>
      <name val="Courier New"/>
      <family val="3"/>
    </font>
    <font>
      <sz val="11"/>
      <color rgb="FF000000"/>
      <name val="Calibri"/>
      <family val="2"/>
      <scheme val="minor"/>
    </font>
    <font>
      <b/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6" fillId="0" borderId="0"/>
  </cellStyleXfs>
  <cellXfs count="387">
    <xf numFmtId="0" fontId="0" fillId="0" borderId="0" xfId="0"/>
    <xf numFmtId="0" fontId="4" fillId="0" borderId="1" xfId="3" applyFont="1" applyBorder="1" applyAlignment="1" applyProtection="1">
      <alignment vertical="center"/>
      <protection locked="0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5" xfId="0" applyFont="1" applyBorder="1" applyProtection="1">
      <protection locked="0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5" xfId="0" applyFont="1" applyBorder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6" fillId="0" borderId="5" xfId="0" applyFont="1" applyBorder="1" applyAlignment="1">
      <alignment horizontal="center"/>
    </xf>
    <xf numFmtId="0" fontId="5" fillId="0" borderId="4" xfId="0" applyFont="1" applyBorder="1"/>
    <xf numFmtId="0" fontId="6" fillId="3" borderId="6" xfId="0" applyFont="1" applyFill="1" applyBorder="1" applyAlignment="1">
      <alignment horizontal="centerContinuous"/>
    </xf>
    <xf numFmtId="0" fontId="5" fillId="3" borderId="7" xfId="0" applyFont="1" applyFill="1" applyBorder="1" applyAlignment="1">
      <alignment horizontal="centerContinuous"/>
    </xf>
    <xf numFmtId="0" fontId="5" fillId="3" borderId="8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0" fillId="0" borderId="4" xfId="0" applyFont="1" applyBorder="1"/>
    <xf numFmtId="44" fontId="5" fillId="2" borderId="9" xfId="0" applyNumberFormat="1" applyFont="1" applyFill="1" applyBorder="1" applyAlignment="1">
      <alignment horizontal="right"/>
    </xf>
    <xf numFmtId="44" fontId="5" fillId="2" borderId="10" xfId="0" applyNumberFormat="1" applyFont="1" applyFill="1" applyBorder="1" applyAlignment="1">
      <alignment horizontal="right"/>
    </xf>
    <xf numFmtId="44" fontId="5" fillId="2" borderId="11" xfId="0" applyNumberFormat="1" applyFont="1" applyFill="1" applyBorder="1" applyAlignment="1">
      <alignment horizontal="right"/>
    </xf>
    <xf numFmtId="44" fontId="5" fillId="0" borderId="9" xfId="0" applyNumberFormat="1" applyFont="1" applyBorder="1" applyAlignment="1">
      <alignment horizontal="right"/>
    </xf>
    <xf numFmtId="44" fontId="5" fillId="0" borderId="10" xfId="0" applyNumberFormat="1" applyFont="1" applyBorder="1" applyAlignment="1">
      <alignment horizontal="right"/>
    </xf>
    <xf numFmtId="44" fontId="5" fillId="0" borderId="12" xfId="0" applyNumberFormat="1" applyFont="1" applyBorder="1" applyAlignment="1">
      <alignment horizontal="right"/>
    </xf>
    <xf numFmtId="42" fontId="5" fillId="0" borderId="12" xfId="0" applyNumberFormat="1" applyFont="1" applyBorder="1" applyAlignment="1" applyProtection="1">
      <alignment horizontal="right"/>
      <protection locked="0"/>
    </xf>
    <xf numFmtId="164" fontId="5" fillId="2" borderId="13" xfId="2" applyNumberFormat="1" applyFont="1" applyFill="1" applyBorder="1"/>
    <xf numFmtId="42" fontId="5" fillId="0" borderId="14" xfId="0" applyNumberFormat="1" applyFont="1" applyBorder="1" applyAlignment="1" applyProtection="1">
      <alignment horizontal="right"/>
      <protection locked="0"/>
    </xf>
    <xf numFmtId="41" fontId="5" fillId="2" borderId="12" xfId="0" applyNumberFormat="1" applyFont="1" applyFill="1" applyBorder="1" applyAlignment="1" applyProtection="1">
      <alignment horizontal="right"/>
      <protection locked="0"/>
    </xf>
    <xf numFmtId="41" fontId="5" fillId="0" borderId="15" xfId="0" applyNumberFormat="1" applyFont="1" applyBorder="1" applyAlignment="1" applyProtection="1">
      <alignment horizontal="right"/>
      <protection locked="0"/>
    </xf>
    <xf numFmtId="41" fontId="5" fillId="0" borderId="10" xfId="0" applyNumberFormat="1" applyFont="1" applyBorder="1" applyAlignment="1" applyProtection="1">
      <alignment horizontal="right"/>
      <protection locked="0"/>
    </xf>
    <xf numFmtId="41" fontId="5" fillId="0" borderId="12" xfId="0" applyNumberFormat="1" applyFont="1" applyBorder="1" applyAlignment="1" applyProtection="1">
      <alignment horizontal="right"/>
      <protection locked="0"/>
    </xf>
    <xf numFmtId="37" fontId="5" fillId="0" borderId="0" xfId="0" applyNumberFormat="1" applyFont="1"/>
    <xf numFmtId="41" fontId="5" fillId="2" borderId="14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/>
    <xf numFmtId="42" fontId="5" fillId="2" borderId="12" xfId="0" applyNumberFormat="1" applyFont="1" applyFill="1" applyBorder="1" applyAlignment="1">
      <alignment horizontal="right"/>
    </xf>
    <xf numFmtId="42" fontId="5" fillId="0" borderId="15" xfId="0" applyNumberFormat="1" applyFont="1" applyBorder="1" applyAlignment="1">
      <alignment horizontal="right"/>
    </xf>
    <xf numFmtId="42" fontId="5" fillId="0" borderId="10" xfId="0" applyNumberFormat="1" applyFont="1" applyBorder="1" applyAlignment="1">
      <alignment horizontal="right"/>
    </xf>
    <xf numFmtId="42" fontId="5" fillId="0" borderId="12" xfId="0" applyNumberFormat="1" applyFont="1" applyBorder="1" applyAlignment="1">
      <alignment horizontal="right"/>
    </xf>
    <xf numFmtId="164" fontId="5" fillId="0" borderId="0" xfId="0" applyNumberFormat="1" applyFont="1"/>
    <xf numFmtId="42" fontId="5" fillId="2" borderId="12" xfId="2" applyNumberFormat="1" applyFont="1" applyFill="1" applyBorder="1" applyAlignment="1">
      <alignment horizontal="right"/>
    </xf>
    <xf numFmtId="42" fontId="5" fillId="0" borderId="15" xfId="2" applyNumberFormat="1" applyFont="1" applyBorder="1" applyAlignment="1">
      <alignment horizontal="right"/>
    </xf>
    <xf numFmtId="42" fontId="5" fillId="0" borderId="10" xfId="2" applyNumberFormat="1" applyFont="1" applyBorder="1" applyAlignment="1">
      <alignment horizontal="right"/>
    </xf>
    <xf numFmtId="42" fontId="5" fillId="0" borderId="12" xfId="2" applyNumberFormat="1" applyFont="1" applyBorder="1" applyAlignment="1">
      <alignment horizontal="right"/>
    </xf>
    <xf numFmtId="42" fontId="5" fillId="2" borderId="12" xfId="0" applyNumberFormat="1" applyFont="1" applyFill="1" applyBorder="1" applyAlignment="1" applyProtection="1">
      <alignment horizontal="right"/>
      <protection locked="0"/>
    </xf>
    <xf numFmtId="42" fontId="5" fillId="0" borderId="15" xfId="0" applyNumberFormat="1" applyFont="1" applyBorder="1" applyProtection="1">
      <protection locked="0"/>
    </xf>
    <xf numFmtId="42" fontId="5" fillId="0" borderId="9" xfId="0" applyNumberFormat="1" applyFont="1" applyBorder="1" applyProtection="1">
      <protection locked="0"/>
    </xf>
    <xf numFmtId="41" fontId="5" fillId="0" borderId="15" xfId="0" applyNumberFormat="1" applyFont="1" applyBorder="1" applyProtection="1">
      <protection locked="0"/>
    </xf>
    <xf numFmtId="41" fontId="5" fillId="0" borderId="9" xfId="0" applyNumberFormat="1" applyFont="1" applyBorder="1" applyProtection="1">
      <protection locked="0"/>
    </xf>
    <xf numFmtId="42" fontId="5" fillId="0" borderId="0" xfId="0" applyNumberFormat="1" applyFont="1"/>
    <xf numFmtId="37" fontId="5" fillId="0" borderId="0" xfId="2" applyNumberFormat="1" applyFont="1" applyBorder="1" applyAlignment="1">
      <alignment horizontal="center"/>
    </xf>
    <xf numFmtId="42" fontId="5" fillId="2" borderId="13" xfId="0" applyNumberFormat="1" applyFont="1" applyFill="1" applyBorder="1" applyAlignment="1">
      <alignment horizontal="right"/>
    </xf>
    <xf numFmtId="42" fontId="5" fillId="0" borderId="9" xfId="0" applyNumberFormat="1" applyFont="1" applyBorder="1" applyAlignment="1">
      <alignment horizontal="right"/>
    </xf>
    <xf numFmtId="42" fontId="5" fillId="2" borderId="13" xfId="2" applyNumberFormat="1" applyFont="1" applyFill="1" applyBorder="1" applyAlignment="1">
      <alignment horizontal="right"/>
    </xf>
    <xf numFmtId="42" fontId="5" fillId="0" borderId="15" xfId="2" applyNumberFormat="1" applyFont="1" applyFill="1" applyBorder="1" applyAlignment="1">
      <alignment horizontal="right"/>
    </xf>
    <xf numFmtId="42" fontId="5" fillId="0" borderId="10" xfId="2" applyNumberFormat="1" applyFont="1" applyFill="1" applyBorder="1" applyAlignment="1">
      <alignment horizontal="right"/>
    </xf>
    <xf numFmtId="42" fontId="5" fillId="0" borderId="12" xfId="2" applyNumberFormat="1" applyFont="1" applyFill="1" applyBorder="1" applyAlignment="1">
      <alignment horizontal="right"/>
    </xf>
    <xf numFmtId="42" fontId="5" fillId="4" borderId="15" xfId="0" applyNumberFormat="1" applyFont="1" applyFill="1" applyBorder="1" applyAlignment="1" applyProtection="1">
      <alignment horizontal="right"/>
      <protection locked="0"/>
    </xf>
    <xf numFmtId="42" fontId="5" fillId="4" borderId="9" xfId="0" applyNumberFormat="1" applyFont="1" applyFill="1" applyBorder="1" applyAlignment="1" applyProtection="1">
      <alignment horizontal="right"/>
      <protection locked="0"/>
    </xf>
    <xf numFmtId="41" fontId="5" fillId="0" borderId="9" xfId="0" applyNumberFormat="1" applyFont="1" applyBorder="1" applyAlignment="1" applyProtection="1">
      <alignment horizontal="right"/>
      <protection locked="0"/>
    </xf>
    <xf numFmtId="164" fontId="5" fillId="2" borderId="0" xfId="2" applyNumberFormat="1" applyFont="1" applyFill="1"/>
    <xf numFmtId="42" fontId="5" fillId="2" borderId="12" xfId="0" applyNumberFormat="1" applyFont="1" applyFill="1" applyBorder="1"/>
    <xf numFmtId="42" fontId="5" fillId="0" borderId="9" xfId="0" applyNumberFormat="1" applyFont="1" applyBorder="1"/>
    <xf numFmtId="42" fontId="5" fillId="0" borderId="10" xfId="0" applyNumberFormat="1" applyFont="1" applyBorder="1"/>
    <xf numFmtId="42" fontId="5" fillId="0" borderId="12" xfId="0" applyNumberFormat="1" applyFont="1" applyBorder="1"/>
    <xf numFmtId="42" fontId="5" fillId="2" borderId="12" xfId="0" applyNumberFormat="1" applyFont="1" applyFill="1" applyBorder="1" applyAlignment="1">
      <alignment horizontal="center"/>
    </xf>
    <xf numFmtId="42" fontId="5" fillId="2" borderId="16" xfId="0" applyNumberFormat="1" applyFont="1" applyFill="1" applyBorder="1"/>
    <xf numFmtId="42" fontId="5" fillId="2" borderId="0" xfId="0" applyNumberFormat="1" applyFont="1" applyFill="1"/>
    <xf numFmtId="42" fontId="5" fillId="2" borderId="0" xfId="4" applyNumberFormat="1" applyFont="1" applyFill="1" applyBorder="1" applyAlignment="1">
      <alignment horizontal="center"/>
    </xf>
    <xf numFmtId="42" fontId="5" fillId="0" borderId="0" xfId="4" applyNumberFormat="1" applyFont="1" applyFill="1" applyBorder="1" applyAlignment="1">
      <alignment horizontal="center"/>
    </xf>
    <xf numFmtId="37" fontId="5" fillId="0" borderId="0" xfId="4" applyNumberFormat="1" applyFont="1" applyFill="1" applyBorder="1" applyAlignment="1">
      <alignment horizontal="center"/>
    </xf>
    <xf numFmtId="5" fontId="5" fillId="0" borderId="0" xfId="0" applyNumberFormat="1" applyFont="1"/>
    <xf numFmtId="0" fontId="11" fillId="0" borderId="4" xfId="0" applyFont="1" applyBorder="1"/>
    <xf numFmtId="0" fontId="12" fillId="0" borderId="0" xfId="0" applyFont="1"/>
    <xf numFmtId="0" fontId="5" fillId="4" borderId="13" xfId="0" applyFont="1" applyFill="1" applyBorder="1" applyAlignment="1">
      <alignment horizontal="center"/>
    </xf>
    <xf numFmtId="1" fontId="5" fillId="4" borderId="12" xfId="0" applyNumberFormat="1" applyFont="1" applyFill="1" applyBorder="1" applyAlignment="1" applyProtection="1">
      <alignment horizontal="right" indent="1"/>
      <protection locked="0"/>
    </xf>
    <xf numFmtId="0" fontId="5" fillId="4" borderId="13" xfId="0" applyFont="1" applyFill="1" applyBorder="1"/>
    <xf numFmtId="1" fontId="5" fillId="2" borderId="14" xfId="0" applyNumberFormat="1" applyFont="1" applyFill="1" applyBorder="1" applyAlignment="1" applyProtection="1">
      <alignment horizontal="right" indent="1"/>
      <protection locked="0"/>
    </xf>
    <xf numFmtId="1" fontId="5" fillId="2" borderId="12" xfId="0" applyNumberFormat="1" applyFont="1" applyFill="1" applyBorder="1" applyAlignment="1" applyProtection="1">
      <alignment horizontal="right" indent="1"/>
      <protection locked="0"/>
    </xf>
    <xf numFmtId="1" fontId="5" fillId="4" borderId="16" xfId="0" applyNumberFormat="1" applyFont="1" applyFill="1" applyBorder="1" applyAlignment="1" applyProtection="1">
      <alignment horizontal="right" indent="1"/>
      <protection locked="0"/>
    </xf>
    <xf numFmtId="1" fontId="5" fillId="2" borderId="17" xfId="0" applyNumberFormat="1" applyFont="1" applyFill="1" applyBorder="1" applyAlignment="1" applyProtection="1">
      <alignment horizontal="right" indent="1"/>
      <protection locked="0"/>
    </xf>
    <xf numFmtId="1" fontId="5" fillId="2" borderId="16" xfId="0" applyNumberFormat="1" applyFont="1" applyFill="1" applyBorder="1" applyAlignment="1" applyProtection="1">
      <alignment horizontal="right" indent="1"/>
      <protection locked="0"/>
    </xf>
    <xf numFmtId="0" fontId="5" fillId="2" borderId="4" xfId="0" applyFont="1" applyFill="1" applyBorder="1" applyAlignment="1">
      <alignment horizontal="right" indent="1"/>
    </xf>
    <xf numFmtId="2" fontId="5" fillId="2" borderId="0" xfId="0" applyNumberFormat="1" applyFont="1" applyFill="1" applyAlignment="1">
      <alignment horizontal="right" indent="1"/>
    </xf>
    <xf numFmtId="2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right" indent="1"/>
    </xf>
    <xf numFmtId="0" fontId="5" fillId="0" borderId="5" xfId="0" applyFont="1" applyBorder="1" applyAlignment="1">
      <alignment horizontal="right" indent="1"/>
    </xf>
    <xf numFmtId="164" fontId="5" fillId="2" borderId="0" xfId="0" applyNumberFormat="1" applyFont="1" applyFill="1" applyAlignment="1" applyProtection="1">
      <alignment horizontal="right" indent="1"/>
      <protection locked="0"/>
    </xf>
    <xf numFmtId="164" fontId="5" fillId="0" borderId="0" xfId="2" applyNumberFormat="1" applyFont="1"/>
    <xf numFmtId="165" fontId="5" fillId="2" borderId="0" xfId="0" applyNumberFormat="1" applyFont="1" applyFill="1" applyAlignment="1" applyProtection="1">
      <alignment horizontal="right" indent="1"/>
      <protection locked="0"/>
    </xf>
    <xf numFmtId="164" fontId="5" fillId="4" borderId="0" xfId="2" applyNumberFormat="1" applyFont="1" applyFill="1"/>
    <xf numFmtId="165" fontId="5" fillId="0" borderId="0" xfId="0" applyNumberFormat="1" applyFont="1"/>
    <xf numFmtId="43" fontId="5" fillId="2" borderId="0" xfId="0" applyNumberFormat="1" applyFont="1" applyFill="1" applyAlignment="1" applyProtection="1">
      <alignment horizontal="right" indent="1"/>
      <protection locked="0"/>
    </xf>
    <xf numFmtId="165" fontId="5" fillId="2" borderId="0" xfId="1" applyNumberFormat="1" applyFont="1" applyFill="1" applyBorder="1" applyAlignment="1" applyProtection="1">
      <alignment horizontal="right" indent="1"/>
      <protection locked="0"/>
    </xf>
    <xf numFmtId="164" fontId="5" fillId="2" borderId="18" xfId="0" applyNumberFormat="1" applyFont="1" applyFill="1" applyBorder="1" applyAlignment="1">
      <alignment horizontal="right"/>
    </xf>
    <xf numFmtId="164" fontId="5" fillId="2" borderId="16" xfId="0" applyNumberFormat="1" applyFont="1" applyFill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5" fillId="0" borderId="21" xfId="0" applyNumberFormat="1" applyFont="1" applyBorder="1" applyAlignment="1">
      <alignment horizontal="right"/>
    </xf>
    <xf numFmtId="0" fontId="13" fillId="0" borderId="4" xfId="0" applyFont="1" applyBorder="1"/>
    <xf numFmtId="41" fontId="5" fillId="2" borderId="4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10" fillId="0" borderId="4" xfId="5" applyFont="1" applyBorder="1"/>
    <xf numFmtId="0" fontId="5" fillId="2" borderId="4" xfId="0" applyFont="1" applyFill="1" applyBorder="1" applyAlignment="1">
      <alignment horizontal="right"/>
    </xf>
    <xf numFmtId="166" fontId="14" fillId="0" borderId="0" xfId="0" applyNumberFormat="1" applyFont="1"/>
    <xf numFmtId="0" fontId="5" fillId="2" borderId="4" xfId="0" applyFont="1" applyFill="1" applyBorder="1"/>
    <xf numFmtId="0" fontId="5" fillId="2" borderId="0" xfId="0" applyFont="1" applyFill="1"/>
    <xf numFmtId="42" fontId="5" fillId="2" borderId="22" xfId="0" quotePrefix="1" applyNumberFormat="1" applyFont="1" applyFill="1" applyBorder="1" applyAlignment="1">
      <alignment horizontal="right"/>
    </xf>
    <xf numFmtId="42" fontId="5" fillId="2" borderId="22" xfId="0" applyNumberFormat="1" applyFont="1" applyFill="1" applyBorder="1"/>
    <xf numFmtId="42" fontId="5" fillId="2" borderId="23" xfId="0" applyNumberFormat="1" applyFont="1" applyFill="1" applyBorder="1"/>
    <xf numFmtId="42" fontId="5" fillId="0" borderId="24" xfId="0" applyNumberFormat="1" applyFont="1" applyBorder="1"/>
    <xf numFmtId="42" fontId="5" fillId="0" borderId="22" xfId="0" applyNumberFormat="1" applyFont="1" applyBorder="1"/>
    <xf numFmtId="42" fontId="5" fillId="0" borderId="23" xfId="0" applyNumberFormat="1" applyFont="1" applyBorder="1"/>
    <xf numFmtId="2" fontId="5" fillId="2" borderId="9" xfId="0" applyNumberFormat="1" applyFont="1" applyFill="1" applyBorder="1" applyAlignment="1">
      <alignment horizontal="right" indent="1"/>
    </xf>
    <xf numFmtId="2" fontId="5" fillId="2" borderId="10" xfId="0" applyNumberFormat="1" applyFont="1" applyFill="1" applyBorder="1" applyAlignment="1">
      <alignment horizontal="right" indent="1"/>
    </xf>
    <xf numFmtId="2" fontId="5" fillId="2" borderId="12" xfId="0" applyNumberFormat="1" applyFont="1" applyFill="1" applyBorder="1" applyAlignment="1">
      <alignment horizontal="right" indent="1"/>
    </xf>
    <xf numFmtId="2" fontId="5" fillId="0" borderId="15" xfId="0" applyNumberFormat="1" applyFont="1" applyBorder="1" applyAlignment="1">
      <alignment horizontal="right" indent="1"/>
    </xf>
    <xf numFmtId="2" fontId="5" fillId="0" borderId="10" xfId="0" applyNumberFormat="1" applyFont="1" applyBorder="1" applyAlignment="1">
      <alignment horizontal="right" indent="1"/>
    </xf>
    <xf numFmtId="2" fontId="5" fillId="0" borderId="12" xfId="0" applyNumberFormat="1" applyFont="1" applyBorder="1" applyAlignment="1">
      <alignment horizontal="right" indent="1"/>
    </xf>
    <xf numFmtId="10" fontId="5" fillId="2" borderId="9" xfId="0" applyNumberFormat="1" applyFont="1" applyFill="1" applyBorder="1" applyAlignment="1">
      <alignment horizontal="right" indent="1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2" xfId="0" applyNumberFormat="1" applyFont="1" applyFill="1" applyBorder="1" applyAlignment="1">
      <alignment horizontal="right" indent="1"/>
    </xf>
    <xf numFmtId="10" fontId="5" fillId="0" borderId="15" xfId="0" applyNumberFormat="1" applyFont="1" applyBorder="1" applyAlignment="1">
      <alignment horizontal="right" indent="1"/>
    </xf>
    <xf numFmtId="10" fontId="5" fillId="0" borderId="10" xfId="0" applyNumberFormat="1" applyFont="1" applyBorder="1" applyAlignment="1">
      <alignment horizontal="right" indent="1"/>
    </xf>
    <xf numFmtId="10" fontId="5" fillId="0" borderId="12" xfId="0" applyNumberFormat="1" applyFont="1" applyBorder="1" applyAlignment="1">
      <alignment horizontal="right" indent="1"/>
    </xf>
    <xf numFmtId="0" fontId="5" fillId="0" borderId="25" xfId="0" applyFont="1" applyBorder="1"/>
    <xf numFmtId="2" fontId="5" fillId="2" borderId="26" xfId="0" applyNumberFormat="1" applyFont="1" applyFill="1" applyBorder="1" applyAlignment="1">
      <alignment horizontal="right" indent="1"/>
    </xf>
    <xf numFmtId="2" fontId="5" fillId="2" borderId="21" xfId="0" applyNumberFormat="1" applyFont="1" applyFill="1" applyBorder="1" applyAlignment="1">
      <alignment horizontal="right" indent="1"/>
    </xf>
    <xf numFmtId="2" fontId="5" fillId="2" borderId="16" xfId="0" applyNumberFormat="1" applyFont="1" applyFill="1" applyBorder="1" applyAlignment="1">
      <alignment horizontal="right" indent="1"/>
    </xf>
    <xf numFmtId="2" fontId="5" fillId="0" borderId="20" xfId="0" applyNumberFormat="1" applyFont="1" applyBorder="1" applyAlignment="1">
      <alignment horizontal="right" indent="1"/>
    </xf>
    <xf numFmtId="2" fontId="5" fillId="0" borderId="21" xfId="0" applyNumberFormat="1" applyFont="1" applyBorder="1" applyAlignment="1">
      <alignment horizontal="right" indent="1"/>
    </xf>
    <xf numFmtId="2" fontId="5" fillId="0" borderId="16" xfId="0" applyNumberFormat="1" applyFont="1" applyBorder="1" applyAlignment="1">
      <alignment horizontal="right" indent="1"/>
    </xf>
    <xf numFmtId="0" fontId="10" fillId="0" borderId="0" xfId="0" applyFont="1"/>
    <xf numFmtId="0" fontId="5" fillId="0" borderId="0" xfId="0" applyFont="1" applyProtection="1">
      <protection locked="0"/>
    </xf>
    <xf numFmtId="0" fontId="15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9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17" fillId="0" borderId="0" xfId="0" applyFont="1" applyAlignment="1">
      <alignment vertical="center" wrapText="1"/>
    </xf>
    <xf numFmtId="44" fontId="17" fillId="0" borderId="0" xfId="0" applyNumberFormat="1" applyFont="1" applyAlignment="1">
      <alignment vertical="center"/>
    </xf>
    <xf numFmtId="0" fontId="0" fillId="5" borderId="9" xfId="0" applyFill="1" applyBorder="1" applyAlignment="1">
      <alignment vertical="center" wrapText="1"/>
    </xf>
    <xf numFmtId="164" fontId="0" fillId="5" borderId="10" xfId="0" applyNumberFormat="1" applyFill="1" applyBorder="1" applyAlignment="1">
      <alignment vertical="center" wrapText="1"/>
    </xf>
    <xf numFmtId="44" fontId="0" fillId="5" borderId="10" xfId="0" applyNumberFormat="1" applyFill="1" applyBorder="1" applyAlignment="1">
      <alignment vertical="center" wrapText="1"/>
    </xf>
    <xf numFmtId="0" fontId="5" fillId="5" borderId="12" xfId="0" applyFont="1" applyFill="1" applyBorder="1" applyAlignment="1">
      <alignment horizontal="center" wrapText="1"/>
    </xf>
    <xf numFmtId="164" fontId="0" fillId="0" borderId="10" xfId="0" applyNumberFormat="1" applyBorder="1" applyAlignment="1">
      <alignment vertical="center" wrapText="1"/>
    </xf>
    <xf numFmtId="0" fontId="5" fillId="5" borderId="12" xfId="0" applyFont="1" applyFill="1" applyBorder="1" applyAlignment="1">
      <alignment horizontal="center"/>
    </xf>
    <xf numFmtId="0" fontId="0" fillId="0" borderId="30" xfId="0" applyBorder="1" applyAlignment="1">
      <alignment vertical="center" wrapText="1"/>
    </xf>
    <xf numFmtId="164" fontId="0" fillId="0" borderId="31" xfId="0" applyNumberFormat="1" applyBorder="1" applyAlignment="1">
      <alignment vertical="center" wrapText="1"/>
    </xf>
    <xf numFmtId="44" fontId="0" fillId="0" borderId="31" xfId="0" applyNumberFormat="1" applyBorder="1" applyAlignment="1">
      <alignment vertical="center" wrapText="1"/>
    </xf>
    <xf numFmtId="0" fontId="5" fillId="0" borderId="11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5" fillId="0" borderId="8" xfId="0" applyFont="1" applyBorder="1" applyAlignment="1">
      <alignment horizontal="center"/>
    </xf>
    <xf numFmtId="0" fontId="0" fillId="0" borderId="32" xfId="0" applyBorder="1" applyAlignment="1">
      <alignment vertical="center" wrapText="1"/>
    </xf>
    <xf numFmtId="164" fontId="0" fillId="0" borderId="33" xfId="0" applyNumberFormat="1" applyBorder="1" applyAlignment="1">
      <alignment vertical="center" wrapText="1"/>
    </xf>
    <xf numFmtId="44" fontId="0" fillId="0" borderId="33" xfId="0" applyNumberFormat="1" applyBorder="1" applyAlignment="1">
      <alignment vertical="center" wrapText="1"/>
    </xf>
    <xf numFmtId="0" fontId="18" fillId="0" borderId="0" xfId="0" applyFont="1" applyAlignment="1">
      <alignment vertical="center"/>
    </xf>
    <xf numFmtId="49" fontId="19" fillId="0" borderId="0" xfId="0" applyNumberFormat="1" applyFont="1" applyAlignment="1">
      <alignment horizontal="center"/>
    </xf>
    <xf numFmtId="49" fontId="19" fillId="0" borderId="34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/>
    <xf numFmtId="49" fontId="19" fillId="0" borderId="0" xfId="0" applyNumberFormat="1" applyFont="1"/>
    <xf numFmtId="167" fontId="20" fillId="0" borderId="0" xfId="0" applyNumberFormat="1" applyFont="1"/>
    <xf numFmtId="49" fontId="20" fillId="0" borderId="0" xfId="0" applyNumberFormat="1" applyFont="1"/>
    <xf numFmtId="167" fontId="20" fillId="0" borderId="35" xfId="0" applyNumberFormat="1" applyFont="1" applyBorder="1"/>
    <xf numFmtId="39" fontId="14" fillId="0" borderId="0" xfId="0" applyNumberFormat="1" applyFont="1"/>
    <xf numFmtId="167" fontId="20" fillId="3" borderId="0" xfId="0" applyNumberFormat="1" applyFont="1" applyFill="1"/>
    <xf numFmtId="167" fontId="20" fillId="0" borderId="7" xfId="0" applyNumberFormat="1" applyFont="1" applyBorder="1"/>
    <xf numFmtId="167" fontId="20" fillId="0" borderId="36" xfId="0" applyNumberFormat="1" applyFont="1" applyBorder="1"/>
    <xf numFmtId="167" fontId="19" fillId="0" borderId="0" xfId="0" applyNumberFormat="1" applyFont="1"/>
    <xf numFmtId="168" fontId="14" fillId="0" borderId="0" xfId="0" applyNumberFormat="1" applyFont="1"/>
    <xf numFmtId="49" fontId="20" fillId="3" borderId="0" xfId="0" applyNumberFormat="1" applyFont="1" applyFill="1"/>
    <xf numFmtId="167" fontId="19" fillId="0" borderId="7" xfId="0" applyNumberFormat="1" applyFont="1" applyBorder="1"/>
    <xf numFmtId="167" fontId="20" fillId="0" borderId="2" xfId="0" applyNumberFormat="1" applyFont="1" applyBorder="1"/>
    <xf numFmtId="169" fontId="14" fillId="0" borderId="0" xfId="0" applyNumberFormat="1" applyFont="1"/>
    <xf numFmtId="167" fontId="19" fillId="0" borderId="37" xfId="0" applyNumberFormat="1" applyFont="1" applyBorder="1"/>
    <xf numFmtId="167" fontId="14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6" borderId="38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 wrapText="1"/>
    </xf>
    <xf numFmtId="44" fontId="23" fillId="0" borderId="10" xfId="0" applyNumberFormat="1" applyFont="1" applyBorder="1" applyAlignment="1">
      <alignment vertical="center"/>
    </xf>
    <xf numFmtId="44" fontId="23" fillId="0" borderId="12" xfId="0" applyNumberFormat="1" applyFont="1" applyBorder="1" applyAlignment="1">
      <alignment vertical="center"/>
    </xf>
    <xf numFmtId="0" fontId="22" fillId="7" borderId="26" xfId="0" applyFont="1" applyFill="1" applyBorder="1" applyAlignment="1">
      <alignment horizontal="center" vertical="center" wrapText="1"/>
    </xf>
    <xf numFmtId="44" fontId="23" fillId="0" borderId="21" xfId="0" applyNumberFormat="1" applyFont="1" applyBorder="1" applyAlignment="1">
      <alignment vertical="center"/>
    </xf>
    <xf numFmtId="44" fontId="23" fillId="0" borderId="16" xfId="0" applyNumberFormat="1" applyFont="1" applyBorder="1" applyAlignment="1">
      <alignment vertical="center"/>
    </xf>
    <xf numFmtId="0" fontId="22" fillId="0" borderId="32" xfId="0" applyFont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170" fontId="22" fillId="0" borderId="33" xfId="0" applyNumberFormat="1" applyFont="1" applyBorder="1" applyAlignment="1">
      <alignment horizontal="center" vertical="center"/>
    </xf>
    <xf numFmtId="170" fontId="22" fillId="0" borderId="3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4" fontId="22" fillId="0" borderId="0" xfId="0" applyNumberFormat="1" applyFont="1" applyAlignment="1">
      <alignment horizontal="center" vertical="center"/>
    </xf>
    <xf numFmtId="0" fontId="21" fillId="0" borderId="0" xfId="0" quotePrefix="1" applyFont="1" applyAlignment="1">
      <alignment horizontal="right" vertical="center"/>
    </xf>
    <xf numFmtId="167" fontId="20" fillId="8" borderId="0" xfId="0" applyNumberFormat="1" applyFont="1" applyFill="1"/>
    <xf numFmtId="167" fontId="20" fillId="8" borderId="36" xfId="0" applyNumberFormat="1" applyFont="1" applyFill="1" applyBorder="1"/>
    <xf numFmtId="167" fontId="20" fillId="8" borderId="35" xfId="0" applyNumberFormat="1" applyFont="1" applyFill="1" applyBorder="1"/>
    <xf numFmtId="167" fontId="20" fillId="9" borderId="0" xfId="0" applyNumberFormat="1" applyFont="1" applyFill="1"/>
    <xf numFmtId="167" fontId="20" fillId="9" borderId="35" xfId="0" applyNumberFormat="1" applyFont="1" applyFill="1" applyBorder="1"/>
    <xf numFmtId="0" fontId="22" fillId="0" borderId="0" xfId="0" applyFont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64" fontId="22" fillId="0" borderId="42" xfId="0" applyNumberFormat="1" applyFont="1" applyBorder="1" applyAlignment="1">
      <alignment horizontal="right"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164" fontId="22" fillId="0" borderId="12" xfId="0" applyNumberFormat="1" applyFont="1" applyBorder="1" applyAlignment="1">
      <alignment horizontal="right" vertical="center"/>
    </xf>
    <xf numFmtId="164" fontId="22" fillId="0" borderId="19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 indent="1"/>
    </xf>
    <xf numFmtId="0" fontId="25" fillId="0" borderId="0" xfId="0" applyFont="1" applyAlignment="1">
      <alignment horizontal="right" vertical="center" indent="1"/>
    </xf>
    <xf numFmtId="44" fontId="22" fillId="0" borderId="0" xfId="0" applyNumberFormat="1" applyFont="1" applyAlignment="1">
      <alignment horizontal="right" vertical="center"/>
    </xf>
    <xf numFmtId="0" fontId="25" fillId="0" borderId="45" xfId="0" applyFont="1" applyBorder="1" applyAlignment="1">
      <alignment horizontal="right" vertical="center" indent="1"/>
    </xf>
    <xf numFmtId="0" fontId="25" fillId="0" borderId="46" xfId="0" applyFont="1" applyBorder="1" applyAlignment="1">
      <alignment horizontal="right" vertical="center" indent="1"/>
    </xf>
    <xf numFmtId="44" fontId="22" fillId="0" borderId="46" xfId="0" applyNumberFormat="1" applyFont="1" applyBorder="1" applyAlignment="1">
      <alignment horizontal="right" vertical="center"/>
    </xf>
    <xf numFmtId="0" fontId="22" fillId="0" borderId="46" xfId="0" applyFont="1" applyBorder="1" applyAlignment="1">
      <alignment vertical="center"/>
    </xf>
    <xf numFmtId="0" fontId="22" fillId="0" borderId="47" xfId="0" applyFont="1" applyBorder="1" applyAlignment="1">
      <alignment vertical="center"/>
    </xf>
    <xf numFmtId="164" fontId="5" fillId="4" borderId="46" xfId="2" applyNumberFormat="1" applyFont="1" applyFill="1" applyBorder="1"/>
    <xf numFmtId="0" fontId="14" fillId="0" borderId="0" xfId="0" applyFont="1" applyAlignment="1">
      <alignment horizontal="center"/>
    </xf>
    <xf numFmtId="171" fontId="14" fillId="0" borderId="0" xfId="0" applyNumberFormat="1" applyFont="1"/>
    <xf numFmtId="172" fontId="14" fillId="0" borderId="0" xfId="0" applyNumberFormat="1" applyFont="1"/>
    <xf numFmtId="0" fontId="19" fillId="0" borderId="0" xfId="0" applyFont="1"/>
    <xf numFmtId="0" fontId="27" fillId="14" borderId="1" xfId="6" applyFont="1" applyFill="1" applyBorder="1" applyAlignment="1" applyProtection="1">
      <alignment vertical="center"/>
      <protection hidden="1"/>
    </xf>
    <xf numFmtId="0" fontId="27" fillId="14" borderId="2" xfId="6" applyFont="1" applyFill="1" applyBorder="1" applyAlignment="1" applyProtection="1">
      <alignment vertical="center"/>
      <protection hidden="1"/>
    </xf>
    <xf numFmtId="0" fontId="27" fillId="14" borderId="3" xfId="6" applyFont="1" applyFill="1" applyBorder="1" applyAlignment="1" applyProtection="1">
      <alignment vertical="center"/>
      <protection hidden="1"/>
    </xf>
    <xf numFmtId="2" fontId="29" fillId="14" borderId="0" xfId="8" applyNumberFormat="1" applyFont="1" applyFill="1" applyAlignment="1" applyProtection="1">
      <alignment horizontal="center" vertical="center"/>
      <protection hidden="1"/>
    </xf>
    <xf numFmtId="0" fontId="29" fillId="14" borderId="0" xfId="8" applyFont="1" applyFill="1" applyProtection="1">
      <protection hidden="1"/>
    </xf>
    <xf numFmtId="0" fontId="29" fillId="14" borderId="0" xfId="8" applyFont="1" applyFill="1" applyAlignment="1" applyProtection="1">
      <alignment horizontal="right"/>
      <protection hidden="1"/>
    </xf>
    <xf numFmtId="4" fontId="29" fillId="14" borderId="5" xfId="8" applyNumberFormat="1" applyFont="1" applyFill="1" applyBorder="1" applyProtection="1">
      <protection hidden="1"/>
    </xf>
    <xf numFmtId="0" fontId="29" fillId="14" borderId="0" xfId="8" applyFont="1" applyFill="1" applyAlignment="1" applyProtection="1">
      <alignment horizontal="right" vertical="top"/>
      <protection hidden="1"/>
    </xf>
    <xf numFmtId="4" fontId="29" fillId="14" borderId="5" xfId="8" applyNumberFormat="1" applyFont="1" applyFill="1" applyBorder="1" applyAlignment="1" applyProtection="1">
      <alignment horizontal="left"/>
      <protection hidden="1"/>
    </xf>
    <xf numFmtId="0" fontId="32" fillId="2" borderId="0" xfId="8" applyFont="1" applyFill="1" applyAlignment="1" applyProtection="1">
      <alignment vertical="center"/>
      <protection hidden="1"/>
    </xf>
    <xf numFmtId="0" fontId="32" fillId="2" borderId="5" xfId="8" applyFont="1" applyFill="1" applyBorder="1" applyAlignment="1" applyProtection="1">
      <alignment vertical="center"/>
      <protection hidden="1"/>
    </xf>
    <xf numFmtId="0" fontId="33" fillId="2" borderId="4" xfId="8" applyFont="1" applyFill="1" applyBorder="1" applyAlignment="1" applyProtection="1">
      <alignment horizontal="center"/>
      <protection hidden="1"/>
    </xf>
    <xf numFmtId="170" fontId="33" fillId="2" borderId="0" xfId="8" applyNumberFormat="1" applyFont="1" applyFill="1" applyAlignment="1" applyProtection="1">
      <alignment horizontal="right"/>
      <protection hidden="1"/>
    </xf>
    <xf numFmtId="170" fontId="33" fillId="2" borderId="5" xfId="8" applyNumberFormat="1" applyFont="1" applyFill="1" applyBorder="1" applyAlignment="1" applyProtection="1">
      <alignment horizontal="right"/>
      <protection hidden="1"/>
    </xf>
    <xf numFmtId="170" fontId="26" fillId="2" borderId="0" xfId="8" applyNumberFormat="1" applyFill="1" applyAlignment="1" applyProtection="1">
      <alignment horizontal="right"/>
      <protection hidden="1"/>
    </xf>
    <xf numFmtId="170" fontId="33" fillId="2" borderId="5" xfId="8" applyNumberFormat="1" applyFont="1" applyFill="1" applyBorder="1" applyProtection="1">
      <protection hidden="1"/>
    </xf>
    <xf numFmtId="0" fontId="35" fillId="2" borderId="4" xfId="8" applyFont="1" applyFill="1" applyBorder="1" applyAlignment="1" applyProtection="1">
      <alignment horizontal="center"/>
      <protection hidden="1"/>
    </xf>
    <xf numFmtId="170" fontId="35" fillId="2" borderId="5" xfId="8" applyNumberFormat="1" applyFont="1" applyFill="1" applyBorder="1" applyProtection="1">
      <protection hidden="1"/>
    </xf>
    <xf numFmtId="0" fontId="33" fillId="2" borderId="4" xfId="8" applyFont="1" applyFill="1" applyBorder="1" applyAlignment="1" applyProtection="1">
      <alignment horizontal="right" vertical="center"/>
      <protection hidden="1"/>
    </xf>
    <xf numFmtId="174" fontId="33" fillId="2" borderId="5" xfId="8" applyNumberFormat="1" applyFont="1" applyFill="1" applyBorder="1" applyAlignment="1" applyProtection="1">
      <alignment horizontal="right"/>
      <protection hidden="1"/>
    </xf>
    <xf numFmtId="0" fontId="33" fillId="2" borderId="25" xfId="8" applyFont="1" applyFill="1" applyBorder="1" applyAlignment="1" applyProtection="1">
      <alignment horizontal="center" vertical="center"/>
      <protection hidden="1"/>
    </xf>
    <xf numFmtId="174" fontId="33" fillId="2" borderId="48" xfId="8" applyNumberFormat="1" applyFont="1" applyFill="1" applyBorder="1" applyAlignment="1" applyProtection="1">
      <alignment horizontal="right"/>
      <protection hidden="1"/>
    </xf>
    <xf numFmtId="43" fontId="5" fillId="0" borderId="0" xfId="0" applyNumberFormat="1" applyFont="1"/>
    <xf numFmtId="0" fontId="38" fillId="0" borderId="0" xfId="0" applyFont="1" applyAlignment="1">
      <alignment vertical="center"/>
    </xf>
    <xf numFmtId="44" fontId="5" fillId="0" borderId="0" xfId="0" applyNumberFormat="1" applyFont="1"/>
    <xf numFmtId="42" fontId="5" fillId="4" borderId="14" xfId="0" applyNumberFormat="1" applyFont="1" applyFill="1" applyBorder="1" applyAlignment="1" applyProtection="1">
      <alignment horizontal="right"/>
      <protection locked="0"/>
    </xf>
    <xf numFmtId="41" fontId="5" fillId="4" borderId="10" xfId="0" applyNumberFormat="1" applyFont="1" applyFill="1" applyBorder="1" applyAlignment="1" applyProtection="1">
      <alignment horizontal="right"/>
      <protection locked="0"/>
    </xf>
    <xf numFmtId="41" fontId="5" fillId="4" borderId="15" xfId="0" applyNumberFormat="1" applyFont="1" applyFill="1" applyBorder="1" applyAlignment="1" applyProtection="1">
      <alignment horizontal="right"/>
      <protection locked="0"/>
    </xf>
    <xf numFmtId="41" fontId="5" fillId="4" borderId="14" xfId="0" applyNumberFormat="1" applyFont="1" applyFill="1" applyBorder="1" applyAlignment="1" applyProtection="1">
      <alignment horizontal="right"/>
      <protection locked="0"/>
    </xf>
    <xf numFmtId="41" fontId="5" fillId="4" borderId="9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Alignment="1">
      <alignment horizontal="right"/>
    </xf>
    <xf numFmtId="0" fontId="5" fillId="15" borderId="0" xfId="0" applyFont="1" applyFill="1"/>
    <xf numFmtId="0" fontId="5" fillId="15" borderId="0" xfId="0" applyFont="1" applyFill="1" applyAlignment="1">
      <alignment horizontal="center"/>
    </xf>
    <xf numFmtId="164" fontId="5" fillId="4" borderId="13" xfId="2" applyNumberFormat="1" applyFont="1" applyFill="1" applyBorder="1"/>
    <xf numFmtId="164" fontId="5" fillId="4" borderId="10" xfId="2" applyNumberFormat="1" applyFont="1" applyFill="1" applyBorder="1" applyAlignment="1" applyProtection="1">
      <alignment horizontal="right" indent="1"/>
      <protection locked="0"/>
    </xf>
    <xf numFmtId="164" fontId="5" fillId="4" borderId="19" xfId="0" applyNumberFormat="1" applyFont="1" applyFill="1" applyBorder="1" applyAlignment="1">
      <alignment horizontal="right"/>
    </xf>
    <xf numFmtId="175" fontId="14" fillId="0" borderId="0" xfId="0" applyNumberFormat="1" applyFont="1"/>
    <xf numFmtId="0" fontId="17" fillId="0" borderId="0" xfId="0" applyFont="1" applyAlignment="1">
      <alignment horizontal="center" vertical="center" wrapText="1"/>
    </xf>
    <xf numFmtId="44" fontId="1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3" fillId="2" borderId="4" xfId="8" applyFont="1" applyFill="1" applyBorder="1" applyAlignment="1" applyProtection="1">
      <alignment horizontal="center"/>
      <protection hidden="1"/>
    </xf>
    <xf numFmtId="0" fontId="33" fillId="2" borderId="0" xfId="8" applyFont="1" applyFill="1" applyAlignment="1" applyProtection="1">
      <alignment horizontal="center"/>
      <protection hidden="1"/>
    </xf>
    <xf numFmtId="0" fontId="33" fillId="2" borderId="5" xfId="8" applyFont="1" applyFill="1" applyBorder="1" applyAlignment="1" applyProtection="1">
      <alignment horizontal="center"/>
      <protection hidden="1"/>
    </xf>
    <xf numFmtId="0" fontId="35" fillId="2" borderId="4" xfId="8" applyFont="1" applyFill="1" applyBorder="1" applyAlignment="1" applyProtection="1">
      <alignment horizontal="left"/>
      <protection hidden="1"/>
    </xf>
    <xf numFmtId="0" fontId="35" fillId="2" borderId="0" xfId="8" applyFont="1" applyFill="1" applyAlignment="1" applyProtection="1">
      <alignment horizontal="left"/>
      <protection hidden="1"/>
    </xf>
    <xf numFmtId="0" fontId="35" fillId="2" borderId="5" xfId="8" applyFont="1" applyFill="1" applyBorder="1" applyAlignment="1" applyProtection="1">
      <alignment horizontal="left"/>
      <protection hidden="1"/>
    </xf>
    <xf numFmtId="0" fontId="37" fillId="2" borderId="4" xfId="0" applyFont="1" applyFill="1" applyBorder="1" applyAlignment="1" applyProtection="1">
      <alignment horizontal="left"/>
      <protection hidden="1"/>
    </xf>
    <xf numFmtId="0" fontId="37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35" xfId="0" applyFill="1" applyBorder="1" applyAlignment="1" applyProtection="1">
      <alignment horizontal="left" vertical="center"/>
      <protection hidden="1"/>
    </xf>
    <xf numFmtId="0" fontId="36" fillId="2" borderId="4" xfId="8" applyFont="1" applyFill="1" applyBorder="1" applyAlignment="1" applyProtection="1">
      <alignment horizontal="center" vertical="center"/>
      <protection hidden="1"/>
    </xf>
    <xf numFmtId="0" fontId="36" fillId="2" borderId="0" xfId="8" applyFont="1" applyFill="1" applyAlignment="1" applyProtection="1">
      <alignment horizontal="center" vertical="center"/>
      <protection hidden="1"/>
    </xf>
    <xf numFmtId="0" fontId="36" fillId="2" borderId="5" xfId="8" applyFont="1" applyFill="1" applyBorder="1" applyAlignment="1" applyProtection="1">
      <alignment horizontal="center" vertical="center"/>
      <protection hidden="1"/>
    </xf>
    <xf numFmtId="170" fontId="0" fillId="2" borderId="0" xfId="0" applyNumberFormat="1" applyFill="1" applyAlignment="1" applyProtection="1">
      <alignment horizontal="right"/>
      <protection hidden="1"/>
    </xf>
    <xf numFmtId="0" fontId="34" fillId="2" borderId="0" xfId="0" applyFont="1" applyFill="1" applyAlignment="1" applyProtection="1">
      <alignment horizontal="left"/>
      <protection hidden="1"/>
    </xf>
    <xf numFmtId="0" fontId="33" fillId="2" borderId="4" xfId="8" applyFont="1" applyFill="1" applyBorder="1" applyAlignment="1" applyProtection="1">
      <alignment horizontal="left"/>
      <protection hidden="1"/>
    </xf>
    <xf numFmtId="0" fontId="0" fillId="2" borderId="5" xfId="0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70" fontId="33" fillId="2" borderId="0" xfId="8" applyNumberFormat="1" applyFont="1" applyFill="1" applyAlignment="1" applyProtection="1">
      <alignment horizontal="right"/>
      <protection hidden="1"/>
    </xf>
    <xf numFmtId="0" fontId="32" fillId="2" borderId="4" xfId="8" applyFont="1" applyFill="1" applyBorder="1" applyAlignment="1" applyProtection="1">
      <alignment horizontal="left" vertical="center"/>
      <protection hidden="1"/>
    </xf>
    <xf numFmtId="0" fontId="32" fillId="2" borderId="0" xfId="8" applyFont="1" applyFill="1" applyAlignment="1" applyProtection="1">
      <alignment horizontal="left" vertical="center"/>
      <protection hidden="1"/>
    </xf>
    <xf numFmtId="0" fontId="32" fillId="2" borderId="0" xfId="8" applyFont="1" applyFill="1" applyAlignment="1" applyProtection="1">
      <alignment horizontal="center" vertical="center"/>
      <protection hidden="1"/>
    </xf>
    <xf numFmtId="0" fontId="29" fillId="14" borderId="4" xfId="8" applyFont="1" applyFill="1" applyBorder="1" applyAlignment="1" applyProtection="1">
      <alignment horizontal="center"/>
      <protection hidden="1"/>
    </xf>
    <xf numFmtId="0" fontId="29" fillId="14" borderId="0" xfId="8" applyFont="1" applyFill="1" applyAlignment="1" applyProtection="1">
      <alignment horizontal="center"/>
      <protection hidden="1"/>
    </xf>
    <xf numFmtId="173" fontId="29" fillId="14" borderId="0" xfId="8" applyNumberFormat="1" applyFont="1" applyFill="1" applyAlignment="1" applyProtection="1">
      <alignment horizontal="left" vertical="top"/>
      <protection hidden="1"/>
    </xf>
    <xf numFmtId="0" fontId="30" fillId="14" borderId="4" xfId="8" applyFont="1" applyFill="1" applyBorder="1" applyAlignment="1" applyProtection="1">
      <alignment horizontal="center" vertical="center"/>
      <protection hidden="1"/>
    </xf>
    <xf numFmtId="0" fontId="30" fillId="14" borderId="0" xfId="8" applyFont="1" applyFill="1" applyAlignment="1" applyProtection="1">
      <alignment horizontal="center" vertical="center"/>
      <protection hidden="1"/>
    </xf>
    <xf numFmtId="0" fontId="30" fillId="14" borderId="5" xfId="8" applyFont="1" applyFill="1" applyBorder="1" applyAlignment="1" applyProtection="1">
      <alignment horizontal="center" vertical="center"/>
      <protection hidden="1"/>
    </xf>
    <xf numFmtId="0" fontId="31" fillId="2" borderId="4" xfId="8" applyFont="1" applyFill="1" applyBorder="1" applyAlignment="1" applyProtection="1">
      <alignment horizontal="center" vertical="center"/>
      <protection hidden="1"/>
    </xf>
    <xf numFmtId="0" fontId="31" fillId="2" borderId="0" xfId="8" applyFont="1" applyFill="1" applyAlignment="1" applyProtection="1">
      <alignment horizontal="center" vertical="center"/>
      <protection hidden="1"/>
    </xf>
    <xf numFmtId="0" fontId="32" fillId="2" borderId="0" xfId="8" applyFont="1" applyFill="1" applyAlignment="1" applyProtection="1">
      <alignment horizontal="center" vertical="center" wrapText="1"/>
      <protection hidden="1"/>
    </xf>
    <xf numFmtId="170" fontId="32" fillId="2" borderId="5" xfId="8" applyNumberFormat="1" applyFont="1" applyFill="1" applyBorder="1" applyAlignment="1" applyProtection="1">
      <alignment horizontal="center" vertical="center" wrapText="1"/>
      <protection hidden="1"/>
    </xf>
    <xf numFmtId="0" fontId="29" fillId="14" borderId="0" xfId="8" applyFont="1" applyFill="1" applyAlignment="1" applyProtection="1">
      <alignment horizontal="left"/>
      <protection hidden="1"/>
    </xf>
    <xf numFmtId="0" fontId="27" fillId="14" borderId="4" xfId="6" applyFont="1" applyFill="1" applyBorder="1" applyAlignment="1" applyProtection="1">
      <alignment horizontal="center" vertical="center"/>
      <protection hidden="1"/>
    </xf>
    <xf numFmtId="0" fontId="27" fillId="14" borderId="0" xfId="6" applyFont="1" applyFill="1" applyAlignment="1" applyProtection="1">
      <alignment horizontal="center" vertical="center"/>
      <protection hidden="1"/>
    </xf>
    <xf numFmtId="0" fontId="27" fillId="14" borderId="5" xfId="6" applyFont="1" applyFill="1" applyBorder="1" applyAlignment="1" applyProtection="1">
      <alignment horizontal="center" vertical="center"/>
      <protection hidden="1"/>
    </xf>
    <xf numFmtId="0" fontId="27" fillId="14" borderId="4" xfId="7" applyFont="1" applyFill="1" applyBorder="1" applyAlignment="1" applyProtection="1">
      <alignment horizontal="center" vertical="center"/>
      <protection hidden="1"/>
    </xf>
    <xf numFmtId="0" fontId="27" fillId="14" borderId="0" xfId="7" applyFont="1" applyFill="1" applyAlignment="1" applyProtection="1">
      <alignment horizontal="center" vertical="center"/>
      <protection hidden="1"/>
    </xf>
    <xf numFmtId="0" fontId="27" fillId="14" borderId="5" xfId="7" applyFont="1" applyFill="1" applyBorder="1" applyAlignment="1" applyProtection="1">
      <alignment horizontal="center" vertical="center"/>
      <protection hidden="1"/>
    </xf>
    <xf numFmtId="0" fontId="28" fillId="14" borderId="4" xfId="8" applyFont="1" applyFill="1" applyBorder="1" applyAlignment="1" applyProtection="1">
      <alignment horizontal="center" vertical="center"/>
      <protection hidden="1"/>
    </xf>
    <xf numFmtId="0" fontId="28" fillId="14" borderId="0" xfId="8" applyFont="1" applyFill="1" applyAlignment="1" applyProtection="1">
      <alignment horizontal="center" vertical="center"/>
      <protection hidden="1"/>
    </xf>
    <xf numFmtId="0" fontId="28" fillId="14" borderId="5" xfId="8" applyFont="1" applyFill="1" applyBorder="1" applyAlignment="1" applyProtection="1">
      <alignment horizontal="center" vertical="center"/>
      <protection hidden="1"/>
    </xf>
    <xf numFmtId="0" fontId="29" fillId="14" borderId="5" xfId="8" applyFont="1" applyFill="1" applyBorder="1" applyAlignment="1" applyProtection="1">
      <alignment horizontal="center"/>
      <protection hidden="1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1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9" xfId="0" applyFont="1" applyFill="1" applyBorder="1" applyAlignment="1">
      <alignment horizontal="center" vertical="center"/>
    </xf>
    <xf numFmtId="0" fontId="21" fillId="11" borderId="32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1" fillId="11" borderId="39" xfId="0" applyFont="1" applyFill="1" applyBorder="1" applyAlignment="1">
      <alignment horizontal="center" vertical="center"/>
    </xf>
    <xf numFmtId="0" fontId="21" fillId="12" borderId="32" xfId="0" applyFont="1" applyFill="1" applyBorder="1" applyAlignment="1">
      <alignment horizontal="center" vertical="center"/>
    </xf>
    <xf numFmtId="0" fontId="21" fillId="12" borderId="33" xfId="0" applyFont="1" applyFill="1" applyBorder="1" applyAlignment="1">
      <alignment horizontal="center" vertical="center"/>
    </xf>
    <xf numFmtId="0" fontId="21" fillId="12" borderId="39" xfId="0" applyFont="1" applyFill="1" applyBorder="1" applyAlignment="1">
      <alignment horizontal="center" vertical="center"/>
    </xf>
    <xf numFmtId="0" fontId="21" fillId="13" borderId="32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0" fontId="21" fillId="13" borderId="39" xfId="0" applyFont="1" applyFill="1" applyBorder="1" applyAlignment="1">
      <alignment horizontal="center" vertical="center"/>
    </xf>
    <xf numFmtId="0" fontId="21" fillId="6" borderId="32" xfId="0" applyFont="1" applyFill="1" applyBorder="1" applyAlignment="1">
      <alignment horizontal="center" vertical="center"/>
    </xf>
    <xf numFmtId="0" fontId="21" fillId="6" borderId="33" xfId="0" applyFont="1" applyFill="1" applyBorder="1" applyAlignment="1">
      <alignment horizontal="center" vertical="center"/>
    </xf>
    <xf numFmtId="0" fontId="21" fillId="6" borderId="39" xfId="0" applyFont="1" applyFill="1" applyBorder="1" applyAlignment="1">
      <alignment horizontal="center" vertical="center"/>
    </xf>
    <xf numFmtId="0" fontId="25" fillId="0" borderId="40" xfId="0" applyFont="1" applyBorder="1" applyAlignment="1">
      <alignment horizontal="left" vertical="center"/>
    </xf>
    <xf numFmtId="0" fontId="25" fillId="0" borderId="41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5" fillId="0" borderId="44" xfId="0" applyFont="1" applyBorder="1" applyAlignment="1">
      <alignment horizontal="right" vertical="center" indent="1"/>
    </xf>
    <xf numFmtId="0" fontId="25" fillId="0" borderId="18" xfId="0" applyFont="1" applyBorder="1" applyAlignment="1">
      <alignment horizontal="right" vertical="center" inden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</cellXfs>
  <cellStyles count="9">
    <cellStyle name="Comma" xfId="1" builtinId="3"/>
    <cellStyle name="Comma0" xfId="4" xr:uid="{1B1DF597-4953-4E03-BBD4-BF491A6BB291}"/>
    <cellStyle name="Currency" xfId="2" builtinId="4"/>
    <cellStyle name="Normal" xfId="0" builtinId="0"/>
    <cellStyle name="Normal 10 2" xfId="7" xr:uid="{2B6E5606-3490-471B-AFC1-E33C9AC071D9}"/>
    <cellStyle name="Normal 124 3" xfId="6" xr:uid="{5EBEF5C1-78B4-454F-9AB6-B5417DF172C9}"/>
    <cellStyle name="Normal 2" xfId="3" xr:uid="{56A1BAA7-F377-4F84-AB17-AD470419AECF}"/>
    <cellStyle name="Normal 2 2" xfId="8" xr:uid="{809F6BD7-BE62-42B3-889B-526B40D03F1F}"/>
    <cellStyle name="Normal 6" xfId="5" xr:uid="{170AA0AA-E324-436A-B01D-30DCE729E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oltbizserver\d\Holt%20Biz%20Consulting%20Desktop%20Files\FY24\Budgets\T2%20Contractual%20Obligations.xlsm" TargetMode="External"/><Relationship Id="rId1" Type="http://schemas.openxmlformats.org/officeDocument/2006/relationships/externalLinkPath" Target="file:///\\Holtbizserver\D\Holt%20Biz%20Consulting%20Desktop%20Files\FY24\Budgets\T2%20Contractual%20Obligatio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actual Obligatons"/>
      <sheetName val="Forecast"/>
      <sheetName val="PL FY 24"/>
      <sheetName val="Pl FY 23"/>
      <sheetName val="410s"/>
      <sheetName val="420s"/>
      <sheetName val="440s"/>
      <sheetName val="Cost per Pupil"/>
    </sheetNames>
    <sheetDataSet>
      <sheetData sheetId="0"/>
      <sheetData sheetId="1"/>
      <sheetData sheetId="2"/>
      <sheetData sheetId="3">
        <row r="53">
          <cell r="AF53">
            <v>30252.31</v>
          </cell>
        </row>
        <row r="87">
          <cell r="AF87">
            <v>95775</v>
          </cell>
        </row>
        <row r="114">
          <cell r="AF114">
            <v>5740</v>
          </cell>
        </row>
        <row r="117">
          <cell r="AF117">
            <v>8824</v>
          </cell>
        </row>
      </sheetData>
      <sheetData sheetId="4">
        <row r="54">
          <cell r="Z54">
            <v>7645.32</v>
          </cell>
        </row>
        <row r="150">
          <cell r="AB150">
            <v>11551.08</v>
          </cell>
        </row>
      </sheetData>
      <sheetData sheetId="5">
        <row r="60">
          <cell r="AB60">
            <v>9182.9799999999959</v>
          </cell>
        </row>
      </sheetData>
      <sheetData sheetId="6">
        <row r="42">
          <cell r="Z42">
            <v>13317.61</v>
          </cell>
        </row>
      </sheetData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rlene Holt" id="{F889F9AC-1023-4109-A9B6-C26016B6AE90}" userId="4497b92242fb4891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1" dT="2023-04-26T16:15:04.94" personId="{F889F9AC-1023-4109-A9B6-C26016B6AE90}" id="{A2CB6B9F-101F-44CA-A5F7-AB7354DBB019}">
    <text xml:space="preserve">Adjusted for gaap accruals to ensure fund cash balance agrees to audit report
</text>
  </threadedComment>
  <threadedComment ref="C21" dT="2023-04-26T16:16:47.37" personId="{F889F9AC-1023-4109-A9B6-C26016B6AE90}" id="{638DBC69-9542-4B1D-9B0C-AD57A9468264}">
    <text xml:space="preserve">Adjusted to reflect cash balance at fy 22
</text>
  </threadedComment>
  <threadedComment ref="D21" dT="2023-04-26T16:16:47.37" personId="{F889F9AC-1023-4109-A9B6-C26016B6AE90}" id="{7C7EB3E1-DD94-4F91-95C4-F1CC2F2C6260}">
    <text xml:space="preserve">Adjusted to reflect cash balance at fy 22
</text>
  </threadedComment>
  <threadedComment ref="E35" dT="2023-04-21T15:40:19.38" personId="{F889F9AC-1023-4109-A9B6-C26016B6AE90}" id="{7A296957-F955-43A1-A063-E06B130BEC66}">
    <text>Per foundation as of April 2023
Revised per foundation as of March 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D056-BA6F-464E-8B8D-9BE4240C5C24}">
  <dimension ref="A1:R688"/>
  <sheetViews>
    <sheetView tabSelected="1" workbookViewId="0">
      <selection activeCell="J71" sqref="J71"/>
    </sheetView>
  </sheetViews>
  <sheetFormatPr defaultColWidth="9.1796875" defaultRowHeight="11.5" x14ac:dyDescent="0.25"/>
  <cols>
    <col min="1" max="1" width="49.453125" style="4" bestFit="1" customWidth="1"/>
    <col min="2" max="3" width="13.26953125" style="4" customWidth="1"/>
    <col min="4" max="4" width="15.453125" style="4" bestFit="1" customWidth="1"/>
    <col min="5" max="9" width="13.26953125" style="4" customWidth="1"/>
    <col min="10" max="10" width="9.1796875" style="4"/>
    <col min="11" max="11" width="40.81640625" style="4" bestFit="1" customWidth="1"/>
    <col min="12" max="13" width="10.453125" style="4" bestFit="1" customWidth="1"/>
    <col min="14" max="17" width="0" style="4" hidden="1" customWidth="1"/>
    <col min="18" max="18" width="10.453125" style="4" bestFit="1" customWidth="1"/>
    <col min="19" max="16384" width="9.1796875" style="4"/>
  </cols>
  <sheetData>
    <row r="1" spans="1:17" ht="13" x14ac:dyDescent="0.25">
      <c r="A1" s="1" t="s">
        <v>324</v>
      </c>
      <c r="B1" s="2"/>
      <c r="C1" s="2"/>
      <c r="D1" s="2"/>
      <c r="E1" s="2"/>
      <c r="F1" s="2"/>
      <c r="G1" s="2"/>
      <c r="H1" s="2"/>
      <c r="I1" s="3"/>
    </row>
    <row r="2" spans="1:17" x14ac:dyDescent="0.25">
      <c r="A2" s="5" t="s">
        <v>0</v>
      </c>
      <c r="B2" s="6"/>
      <c r="C2" s="6"/>
      <c r="D2" s="6"/>
      <c r="H2" s="7" t="s">
        <v>1</v>
      </c>
      <c r="I2" s="8" t="s">
        <v>2</v>
      </c>
    </row>
    <row r="3" spans="1:17" s="13" customFormat="1" ht="14" x14ac:dyDescent="0.3">
      <c r="A3" s="9" t="s">
        <v>3</v>
      </c>
      <c r="B3" s="10"/>
      <c r="C3" s="298"/>
      <c r="D3" s="298"/>
      <c r="E3" s="298"/>
      <c r="F3" s="298"/>
      <c r="G3" s="11"/>
      <c r="H3" s="11"/>
      <c r="I3" s="12"/>
    </row>
    <row r="4" spans="1:17" s="13" customFormat="1" ht="14" x14ac:dyDescent="0.3">
      <c r="A4" s="9" t="s">
        <v>4</v>
      </c>
      <c r="B4" s="10" t="s">
        <v>5</v>
      </c>
      <c r="C4" s="299" t="s">
        <v>6</v>
      </c>
      <c r="D4" s="299"/>
      <c r="E4" s="299"/>
      <c r="F4" s="299"/>
      <c r="G4" s="11"/>
      <c r="H4" s="11"/>
      <c r="I4" s="12"/>
    </row>
    <row r="5" spans="1:17" s="13" customFormat="1" ht="14" x14ac:dyDescent="0.3">
      <c r="A5" s="300" t="s">
        <v>7</v>
      </c>
      <c r="B5" s="301"/>
      <c r="C5" s="301"/>
      <c r="D5" s="301"/>
      <c r="E5" s="301"/>
      <c r="F5" s="301"/>
      <c r="G5" s="301"/>
      <c r="H5" s="301"/>
      <c r="I5" s="302"/>
    </row>
    <row r="6" spans="1:17" s="13" customFormat="1" ht="14" x14ac:dyDescent="0.3">
      <c r="A6" s="300" t="s">
        <v>8</v>
      </c>
      <c r="B6" s="301"/>
      <c r="C6" s="301"/>
      <c r="D6" s="301"/>
      <c r="E6" s="301"/>
      <c r="F6" s="301"/>
      <c r="G6" s="301"/>
      <c r="H6" s="301"/>
      <c r="I6" s="302"/>
    </row>
    <row r="7" spans="1:17" s="13" customFormat="1" ht="14" x14ac:dyDescent="0.3">
      <c r="A7" s="300" t="s">
        <v>9</v>
      </c>
      <c r="B7" s="301"/>
      <c r="C7" s="301"/>
      <c r="D7" s="301"/>
      <c r="E7" s="301"/>
      <c r="F7" s="301"/>
      <c r="G7" s="301"/>
      <c r="H7" s="301"/>
      <c r="I7" s="302"/>
    </row>
    <row r="8" spans="1:17" ht="13.5" thickBot="1" x14ac:dyDescent="0.35">
      <c r="A8" s="15"/>
      <c r="B8" s="16"/>
      <c r="C8" s="16"/>
      <c r="D8" s="16"/>
      <c r="E8" s="14"/>
      <c r="F8" s="14"/>
      <c r="G8" s="14"/>
      <c r="H8" s="14"/>
      <c r="I8" s="17"/>
    </row>
    <row r="9" spans="1:17" ht="13.5" customHeight="1" thickBot="1" x14ac:dyDescent="0.3">
      <c r="A9" s="18"/>
      <c r="B9" s="303" t="s">
        <v>10</v>
      </c>
      <c r="C9" s="304"/>
      <c r="D9" s="305"/>
      <c r="E9" s="19" t="s">
        <v>11</v>
      </c>
      <c r="F9" s="20"/>
      <c r="G9" s="20"/>
      <c r="H9" s="20"/>
      <c r="I9" s="21"/>
    </row>
    <row r="10" spans="1:17" x14ac:dyDescent="0.25">
      <c r="A10" s="18"/>
      <c r="B10" s="22" t="s">
        <v>12</v>
      </c>
      <c r="C10" s="23" t="s">
        <v>12</v>
      </c>
      <c r="D10" s="24" t="s">
        <v>12</v>
      </c>
      <c r="E10" s="25" t="s">
        <v>12</v>
      </c>
      <c r="F10" s="26" t="s">
        <v>12</v>
      </c>
      <c r="G10" s="26" t="s">
        <v>12</v>
      </c>
      <c r="H10" s="26" t="s">
        <v>12</v>
      </c>
      <c r="I10" s="27" t="s">
        <v>12</v>
      </c>
    </row>
    <row r="11" spans="1:17" x14ac:dyDescent="0.25">
      <c r="A11" s="18"/>
      <c r="B11" s="28">
        <v>2021</v>
      </c>
      <c r="C11" s="29">
        <v>2022</v>
      </c>
      <c r="D11" s="30">
        <v>2023</v>
      </c>
      <c r="E11" s="31">
        <v>2024</v>
      </c>
      <c r="F11" s="32">
        <v>2025</v>
      </c>
      <c r="G11" s="33">
        <v>2026</v>
      </c>
      <c r="H11" s="33">
        <v>2027</v>
      </c>
      <c r="I11" s="34">
        <v>2028</v>
      </c>
      <c r="N11" s="4">
        <v>1940000</v>
      </c>
      <c r="O11" s="4">
        <v>250</v>
      </c>
      <c r="P11" s="4">
        <v>7185</v>
      </c>
      <c r="Q11" s="4">
        <f>+O11*P11</f>
        <v>1796250</v>
      </c>
    </row>
    <row r="12" spans="1:17" ht="12" thickBot="1" x14ac:dyDescent="0.3">
      <c r="A12" s="35" t="s">
        <v>13</v>
      </c>
      <c r="B12" s="36"/>
      <c r="C12" s="37"/>
      <c r="D12" s="38"/>
      <c r="E12" s="39"/>
      <c r="F12" s="40"/>
      <c r="G12" s="40"/>
      <c r="H12" s="40"/>
      <c r="I12" s="41"/>
      <c r="O12" s="4">
        <v>300</v>
      </c>
      <c r="P12" s="4">
        <v>7185.11</v>
      </c>
      <c r="Q12" s="4">
        <f>+O12*P12</f>
        <v>2155533</v>
      </c>
    </row>
    <row r="13" spans="1:17" ht="12" thickBot="1" x14ac:dyDescent="0.3">
      <c r="A13" s="18" t="s">
        <v>14</v>
      </c>
      <c r="B13" s="42">
        <v>873106</v>
      </c>
      <c r="C13" s="43">
        <v>820948.96</v>
      </c>
      <c r="D13" s="43">
        <v>785929</v>
      </c>
      <c r="E13" s="44">
        <f>+'FY 24 Estim spring'!AF16</f>
        <v>878041.65749999997</v>
      </c>
      <c r="F13" s="284">
        <f>+'FY 25 Foundation Only'!L14+'FY 25 Foundation Only'!L15+'FY 25 Foundation Only'!L22+'FY 25 Foundation Only'!L23+'FY 25 Foundation Only'!L24</f>
        <v>985489.57431644318</v>
      </c>
      <c r="G13" s="284">
        <f>+'FY 26 Foundation Only'!L14+'FY 26 Foundation Only'!L15+'FY 26 Foundation Only'!L17+'FY 26 Foundation Only'!L22+'FY 26 Foundation Only'!L23</f>
        <v>1340786.29711046</v>
      </c>
      <c r="H13" s="44">
        <v>1340786.29711046</v>
      </c>
      <c r="I13" s="44">
        <v>1340786.29711046</v>
      </c>
      <c r="K13" s="4" t="s">
        <v>382</v>
      </c>
      <c r="O13" s="4">
        <v>325</v>
      </c>
      <c r="P13" s="4">
        <v>7185.11</v>
      </c>
      <c r="Q13" s="4">
        <f>+O13*P13</f>
        <v>2335160.75</v>
      </c>
    </row>
    <row r="14" spans="1:17" ht="12" thickBot="1" x14ac:dyDescent="0.3">
      <c r="A14" s="18" t="s">
        <v>15</v>
      </c>
      <c r="B14" s="45"/>
      <c r="C14" s="43"/>
      <c r="D14" s="43"/>
      <c r="E14" s="46">
        <v>0</v>
      </c>
      <c r="F14" s="285"/>
      <c r="G14" s="285"/>
      <c r="H14" s="47"/>
      <c r="I14" s="48">
        <v>0</v>
      </c>
      <c r="J14" s="49"/>
      <c r="O14" s="4">
        <v>350</v>
      </c>
      <c r="P14" s="4">
        <v>7185.11</v>
      </c>
      <c r="Q14" s="4">
        <f>+O14*P14</f>
        <v>2514788.5</v>
      </c>
    </row>
    <row r="15" spans="1:17" ht="12" thickBot="1" x14ac:dyDescent="0.3">
      <c r="A15" s="18" t="s">
        <v>16</v>
      </c>
      <c r="B15" s="45"/>
      <c r="C15" s="43"/>
      <c r="D15" s="43"/>
      <c r="E15" s="46">
        <f>+'FY 24 Estim spring'!AF6+'FY 24 Estim spring'!AF9</f>
        <v>12239.369999999999</v>
      </c>
      <c r="F15" s="286">
        <v>12239.369999999999</v>
      </c>
      <c r="G15" s="286">
        <v>12239.369999999999</v>
      </c>
      <c r="H15" s="46">
        <v>12239.369999999999</v>
      </c>
      <c r="I15" s="46">
        <v>12239.369999999999</v>
      </c>
      <c r="J15" s="49"/>
    </row>
    <row r="16" spans="1:17" ht="12" thickBot="1" x14ac:dyDescent="0.3">
      <c r="A16" s="18" t="s">
        <v>17</v>
      </c>
      <c r="B16" s="45">
        <v>22454</v>
      </c>
      <c r="C16" s="43">
        <v>30777</v>
      </c>
      <c r="D16" s="43">
        <f>65433+2332</f>
        <v>67765</v>
      </c>
      <c r="E16" s="50">
        <f>+'FY 24 Estim spring'!AF12+'FY 24 Estim spring'!AF15</f>
        <v>94861.617499999993</v>
      </c>
      <c r="F16" s="287">
        <f>+'FY 25 Foundation Only'!L25+7000</f>
        <v>106191.50524</v>
      </c>
      <c r="G16" s="287">
        <f>+'FY 26 Foundation Only'!L25+7000</f>
        <v>155787.25786000001</v>
      </c>
      <c r="H16" s="50">
        <v>155787.25786000001</v>
      </c>
      <c r="I16" s="50">
        <v>155787.25786000001</v>
      </c>
      <c r="J16" s="49"/>
      <c r="K16" s="4" t="s">
        <v>380</v>
      </c>
    </row>
    <row r="17" spans="1:12" ht="12" thickBot="1" x14ac:dyDescent="0.3">
      <c r="A17" s="51" t="s">
        <v>18</v>
      </c>
      <c r="B17" s="52">
        <f>SUM(B13:B16)</f>
        <v>895560</v>
      </c>
      <c r="C17" s="43">
        <f>SUM(C13:C16)</f>
        <v>851725.96</v>
      </c>
      <c r="D17" s="43">
        <f>SUM(D13:D16)</f>
        <v>853694</v>
      </c>
      <c r="E17" s="53">
        <f t="shared" ref="E17:I17" si="0">SUM(E13:E16)</f>
        <v>985142.64500000002</v>
      </c>
      <c r="F17" s="54">
        <f t="shared" si="0"/>
        <v>1103920.4495564431</v>
      </c>
      <c r="G17" s="54">
        <f t="shared" si="0"/>
        <v>1508812.9249704601</v>
      </c>
      <c r="H17" s="54">
        <f t="shared" si="0"/>
        <v>1508812.9249704601</v>
      </c>
      <c r="I17" s="55">
        <f t="shared" si="0"/>
        <v>1508812.9249704601</v>
      </c>
      <c r="J17" s="49"/>
      <c r="L17" s="56"/>
    </row>
    <row r="18" spans="1:12" ht="12" thickBot="1" x14ac:dyDescent="0.3">
      <c r="A18" s="51"/>
      <c r="B18" s="52"/>
      <c r="C18" s="43"/>
      <c r="D18" s="43"/>
      <c r="E18" s="53"/>
      <c r="F18" s="54"/>
      <c r="G18" s="54"/>
      <c r="H18" s="54"/>
      <c r="I18" s="55"/>
      <c r="J18" s="49"/>
    </row>
    <row r="19" spans="1:12" ht="12" thickBot="1" x14ac:dyDescent="0.3">
      <c r="A19" s="35" t="s">
        <v>19</v>
      </c>
      <c r="B19" s="57"/>
      <c r="C19" s="43"/>
      <c r="D19" s="43"/>
      <c r="E19" s="58"/>
      <c r="F19" s="59"/>
      <c r="G19" s="59"/>
      <c r="H19" s="59"/>
      <c r="I19" s="60"/>
      <c r="J19" s="49"/>
    </row>
    <row r="20" spans="1:12" ht="12" thickBot="1" x14ac:dyDescent="0.3">
      <c r="A20" s="18" t="s">
        <v>20</v>
      </c>
      <c r="B20" s="61">
        <v>521943</v>
      </c>
      <c r="C20" s="43">
        <v>653353</v>
      </c>
      <c r="D20" s="43">
        <v>690130</v>
      </c>
      <c r="E20" s="62">
        <f>+'FY 24 Estim spring'!AF37</f>
        <v>693000.21</v>
      </c>
      <c r="F20" s="63">
        <f t="shared" ref="F20:I21" si="1">+E20*1.03</f>
        <v>713790.21629999997</v>
      </c>
      <c r="G20" s="63">
        <f>+F20*1.03+130000</f>
        <v>865203.92278899997</v>
      </c>
      <c r="H20" s="63">
        <f>+G20*1.03</f>
        <v>891160.04047266999</v>
      </c>
      <c r="I20" s="63">
        <f>+H20*1.03</f>
        <v>917894.84168685006</v>
      </c>
      <c r="J20" s="49"/>
    </row>
    <row r="21" spans="1:12" ht="12" thickBot="1" x14ac:dyDescent="0.3">
      <c r="A21" s="18" t="s">
        <v>21</v>
      </c>
      <c r="B21" s="45">
        <f>188676+68910</f>
        <v>257586</v>
      </c>
      <c r="C21" s="43">
        <v>62538</v>
      </c>
      <c r="D21" s="43">
        <v>159052</v>
      </c>
      <c r="E21" s="64">
        <f>+'FY 24 Estim spring'!AF46</f>
        <v>143622.76</v>
      </c>
      <c r="F21" s="65">
        <f t="shared" si="1"/>
        <v>147931.44280000002</v>
      </c>
      <c r="G21" s="65">
        <f>+G20*0.22</f>
        <v>190344.86301358</v>
      </c>
      <c r="H21" s="65">
        <f t="shared" si="1"/>
        <v>196055.2089039874</v>
      </c>
      <c r="I21" s="65">
        <f t="shared" si="1"/>
        <v>201936.86517110703</v>
      </c>
      <c r="J21" s="49"/>
      <c r="K21" s="283"/>
    </row>
    <row r="22" spans="1:12" ht="12" thickBot="1" x14ac:dyDescent="0.3">
      <c r="A22" s="18" t="s">
        <v>22</v>
      </c>
      <c r="B22" s="45">
        <v>331068</v>
      </c>
      <c r="C22" s="43">
        <f>+C92</f>
        <v>415947.42000000004</v>
      </c>
      <c r="D22" s="43">
        <f>+D92</f>
        <v>575453.24</v>
      </c>
      <c r="E22" s="64">
        <f>+E92</f>
        <v>669809.87395000004</v>
      </c>
      <c r="F22" s="65">
        <f>+F92</f>
        <v>690764.13230264408</v>
      </c>
      <c r="G22" s="65">
        <f t="shared" ref="G22:I22" si="2">+G92</f>
        <v>772194.60216716246</v>
      </c>
      <c r="H22" s="65">
        <f t="shared" si="2"/>
        <v>789292.92022679723</v>
      </c>
      <c r="I22" s="65">
        <f t="shared" si="2"/>
        <v>807255.4923865028</v>
      </c>
      <c r="J22" s="49"/>
      <c r="K22" s="281"/>
    </row>
    <row r="23" spans="1:12" ht="12" thickBot="1" x14ac:dyDescent="0.3">
      <c r="A23" s="18" t="s">
        <v>23</v>
      </c>
      <c r="B23" s="45">
        <v>58014</v>
      </c>
      <c r="C23" s="43">
        <v>141605</v>
      </c>
      <c r="D23" s="43">
        <v>66794</v>
      </c>
      <c r="E23" s="50">
        <f>+'FY 24 Estim spring'!AF96+'FY 24 Estim spring'!AF100+'FY 24 Estim spring'!AF103+'FY 24 Estim spring'!AF106</f>
        <v>62286.409999999996</v>
      </c>
      <c r="F23" s="50">
        <v>62286.409999999996</v>
      </c>
      <c r="G23" s="50">
        <v>123000</v>
      </c>
      <c r="H23" s="50">
        <v>123000</v>
      </c>
      <c r="I23" s="50">
        <v>123000</v>
      </c>
      <c r="J23" s="49"/>
    </row>
    <row r="24" spans="1:12" ht="12" thickBot="1" x14ac:dyDescent="0.3">
      <c r="A24" s="18" t="s">
        <v>24</v>
      </c>
      <c r="B24" s="45"/>
      <c r="C24" s="43"/>
      <c r="D24" s="43"/>
      <c r="E24" s="64"/>
      <c r="F24" s="65"/>
      <c r="G24" s="65"/>
      <c r="H24" s="65"/>
      <c r="I24" s="65"/>
      <c r="J24" s="49"/>
      <c r="K24" s="281"/>
      <c r="L24" s="66"/>
    </row>
    <row r="25" spans="1:12" ht="12" thickBot="1" x14ac:dyDescent="0.3">
      <c r="A25" s="18" t="s">
        <v>25</v>
      </c>
      <c r="B25" s="45">
        <v>0</v>
      </c>
      <c r="C25" s="43"/>
      <c r="D25" s="43"/>
      <c r="E25" s="64">
        <v>0</v>
      </c>
      <c r="F25" s="65">
        <v>0</v>
      </c>
      <c r="G25" s="65">
        <v>0</v>
      </c>
      <c r="H25" s="65">
        <v>0</v>
      </c>
      <c r="I25" s="65">
        <v>0</v>
      </c>
      <c r="J25" s="49"/>
      <c r="K25" s="66"/>
    </row>
    <row r="26" spans="1:12" ht="12" thickBot="1" x14ac:dyDescent="0.3">
      <c r="A26" s="18" t="s">
        <v>26</v>
      </c>
      <c r="B26" s="45">
        <f>7739+28591</f>
        <v>36330</v>
      </c>
      <c r="C26" s="43">
        <f>100155+45380</f>
        <v>145535</v>
      </c>
      <c r="D26" s="43">
        <v>19630</v>
      </c>
      <c r="E26" s="50">
        <f>+'FY 24 Estim spring'!AF115-'FY 24 Estim spring'!AF113-'FY 24 Estim spring'!AF110</f>
        <v>14051.910000000003</v>
      </c>
      <c r="F26" s="45">
        <v>14051.910000000003</v>
      </c>
      <c r="G26" s="45">
        <v>14051.910000000003</v>
      </c>
      <c r="H26" s="45">
        <v>14051.910000000003</v>
      </c>
      <c r="I26" s="45">
        <v>14051.910000000003</v>
      </c>
      <c r="J26" s="49"/>
    </row>
    <row r="27" spans="1:12" ht="12" thickBot="1" x14ac:dyDescent="0.3">
      <c r="A27" s="18" t="s">
        <v>27</v>
      </c>
      <c r="B27" s="45">
        <v>0</v>
      </c>
      <c r="C27" s="43"/>
      <c r="D27" s="43"/>
      <c r="E27" s="64">
        <v>0</v>
      </c>
      <c r="F27" s="47">
        <v>0</v>
      </c>
      <c r="G27" s="47">
        <v>0</v>
      </c>
      <c r="H27" s="47">
        <v>0</v>
      </c>
      <c r="I27" s="48">
        <v>0</v>
      </c>
      <c r="J27" s="49"/>
    </row>
    <row r="28" spans="1:12" ht="12" thickBot="1" x14ac:dyDescent="0.3">
      <c r="A28" s="18" t="s">
        <v>28</v>
      </c>
      <c r="B28" s="52">
        <f>SUM(B20:B27)</f>
        <v>1204941</v>
      </c>
      <c r="C28" s="43">
        <f>SUM(C20:C27)</f>
        <v>1418978.42</v>
      </c>
      <c r="D28" s="43">
        <f>SUM(D20:D27)</f>
        <v>1511059.24</v>
      </c>
      <c r="E28" s="53">
        <f>SUM(E20:E27)</f>
        <v>1582771.16395</v>
      </c>
      <c r="F28" s="54">
        <f t="shared" ref="F28:I28" si="3">SUM(F20:F27)</f>
        <v>1628824.1114026438</v>
      </c>
      <c r="G28" s="54">
        <f t="shared" si="3"/>
        <v>1964795.2979697424</v>
      </c>
      <c r="H28" s="54">
        <f t="shared" si="3"/>
        <v>2013560.0796034546</v>
      </c>
      <c r="I28" s="55">
        <f t="shared" si="3"/>
        <v>2064139.10924446</v>
      </c>
      <c r="J28" s="67"/>
    </row>
    <row r="29" spans="1:12" ht="12" customHeight="1" thickBot="1" x14ac:dyDescent="0.3">
      <c r="A29" s="18"/>
      <c r="B29" s="52"/>
      <c r="C29" s="68"/>
      <c r="D29" s="68"/>
      <c r="E29" s="53"/>
      <c r="F29" s="54"/>
      <c r="G29" s="54"/>
      <c r="H29" s="54"/>
      <c r="I29" s="55"/>
      <c r="J29" s="49"/>
    </row>
    <row r="30" spans="1:12" ht="12" customHeight="1" thickBot="1" x14ac:dyDescent="0.3">
      <c r="A30" s="18" t="s">
        <v>29</v>
      </c>
      <c r="B30" s="52"/>
      <c r="C30" s="68"/>
      <c r="D30" s="68"/>
      <c r="E30" s="53"/>
      <c r="F30" s="54"/>
      <c r="G30" s="54"/>
      <c r="H30" s="54"/>
      <c r="I30" s="55"/>
      <c r="J30" s="49"/>
    </row>
    <row r="31" spans="1:12" ht="12" customHeight="1" thickBot="1" x14ac:dyDescent="0.3">
      <c r="A31" s="18" t="s">
        <v>19</v>
      </c>
      <c r="B31" s="52">
        <f>+B17-B28</f>
        <v>-309381</v>
      </c>
      <c r="C31" s="68">
        <f>+C17-C28</f>
        <v>-567252.46</v>
      </c>
      <c r="D31" s="68">
        <f>+D17-D28</f>
        <v>-657365.24</v>
      </c>
      <c r="E31" s="53">
        <f>E17-E28</f>
        <v>-597628.51894999994</v>
      </c>
      <c r="F31" s="69">
        <f t="shared" ref="F31:I31" si="4">F17-F28</f>
        <v>-524903.6618462007</v>
      </c>
      <c r="G31" s="69">
        <f t="shared" si="4"/>
        <v>-455982.37299928232</v>
      </c>
      <c r="H31" s="69">
        <f t="shared" si="4"/>
        <v>-504747.15463299444</v>
      </c>
      <c r="I31" s="69">
        <f t="shared" si="4"/>
        <v>-555326.18427399988</v>
      </c>
      <c r="J31" s="49"/>
    </row>
    <row r="32" spans="1:12" ht="12" customHeight="1" thickBot="1" x14ac:dyDescent="0.3">
      <c r="A32" s="18"/>
      <c r="B32" s="52"/>
      <c r="C32" s="68"/>
      <c r="D32" s="68"/>
      <c r="E32" s="53"/>
      <c r="F32" s="54"/>
      <c r="G32" s="54"/>
      <c r="H32" s="54"/>
      <c r="I32" s="55"/>
      <c r="J32" s="49"/>
    </row>
    <row r="33" spans="1:18" ht="12" thickBot="1" x14ac:dyDescent="0.3">
      <c r="A33" s="35" t="s">
        <v>30</v>
      </c>
      <c r="B33" s="57"/>
      <c r="C33" s="70"/>
      <c r="D33" s="70"/>
      <c r="E33" s="71"/>
      <c r="F33" s="72"/>
      <c r="G33" s="72"/>
      <c r="H33" s="72"/>
      <c r="I33" s="73"/>
      <c r="J33" s="49"/>
    </row>
    <row r="34" spans="1:18" ht="12" thickBot="1" x14ac:dyDescent="0.3">
      <c r="A34" s="18" t="s">
        <v>31</v>
      </c>
      <c r="B34" s="61">
        <v>234002</v>
      </c>
      <c r="C34" s="43">
        <v>523782</v>
      </c>
      <c r="D34" s="43">
        <v>518751</v>
      </c>
      <c r="E34" s="74">
        <f>+'FY 24 Estim spring'!AF23</f>
        <v>559698.43999999994</v>
      </c>
      <c r="F34" s="75">
        <v>350000</v>
      </c>
      <c r="G34" s="75">
        <v>350000</v>
      </c>
      <c r="H34" s="75">
        <v>350000</v>
      </c>
      <c r="I34" s="75">
        <v>350000</v>
      </c>
      <c r="J34" s="49"/>
      <c r="R34" s="66"/>
    </row>
    <row r="35" spans="1:18" ht="12" thickBot="1" x14ac:dyDescent="0.3">
      <c r="A35" s="18" t="s">
        <v>32</v>
      </c>
      <c r="B35" s="48">
        <v>43427</v>
      </c>
      <c r="C35" s="43">
        <v>158599.03</v>
      </c>
      <c r="D35" s="43">
        <v>170512</v>
      </c>
      <c r="E35" s="46">
        <f>+'FY 24 Estim spring'!AF20</f>
        <v>167404.41750000001</v>
      </c>
      <c r="F35" s="288">
        <f>+'FY 25 Foundation Only'!L16+'FY 25 Foundation Only'!L17+'FY 25 Foundation Only'!L18</f>
        <v>200730.20053169585</v>
      </c>
      <c r="G35" s="288">
        <f>+'FY 26 Foundation Only'!L16+'FY 26 Foundation Only'!L18</f>
        <v>276316.46600162447</v>
      </c>
      <c r="H35" s="76">
        <v>276316.46600162447</v>
      </c>
      <c r="I35" s="76">
        <v>276316.46600162447</v>
      </c>
      <c r="J35" s="49"/>
      <c r="K35" s="4" t="s">
        <v>381</v>
      </c>
    </row>
    <row r="36" spans="1:18" ht="12" thickBot="1" x14ac:dyDescent="0.3">
      <c r="A36" s="18" t="s">
        <v>33</v>
      </c>
      <c r="B36" s="45">
        <v>0</v>
      </c>
      <c r="C36" s="43"/>
      <c r="D36" s="43"/>
      <c r="E36" s="46">
        <v>0</v>
      </c>
      <c r="F36" s="47">
        <v>0</v>
      </c>
      <c r="G36" s="47">
        <v>0</v>
      </c>
      <c r="H36" s="47">
        <v>0</v>
      </c>
      <c r="I36" s="48">
        <v>0</v>
      </c>
      <c r="J36" s="49"/>
    </row>
    <row r="37" spans="1:18" ht="14.5" thickBot="1" x14ac:dyDescent="0.4">
      <c r="A37" s="18" t="s">
        <v>34</v>
      </c>
      <c r="B37" s="45">
        <v>0</v>
      </c>
      <c r="C37" s="43"/>
      <c r="D37" s="43"/>
      <c r="E37" s="46"/>
      <c r="F37" s="76"/>
      <c r="G37" s="76"/>
      <c r="H37" s="76"/>
      <c r="I37" s="76"/>
      <c r="J37" s="49"/>
      <c r="K37" s="276"/>
    </row>
    <row r="38" spans="1:18" ht="12" thickBot="1" x14ac:dyDescent="0.3">
      <c r="A38" s="18" t="s">
        <v>35</v>
      </c>
      <c r="B38" s="45"/>
      <c r="C38" s="43"/>
      <c r="D38" s="43"/>
      <c r="E38" s="46"/>
      <c r="F38" s="76"/>
      <c r="G38" s="76"/>
      <c r="H38" s="76"/>
      <c r="I38" s="76"/>
      <c r="J38" s="49"/>
    </row>
    <row r="39" spans="1:18" ht="12" thickBot="1" x14ac:dyDescent="0.3">
      <c r="A39" s="18" t="s">
        <v>36</v>
      </c>
      <c r="B39" s="45">
        <v>102621</v>
      </c>
      <c r="C39" s="43"/>
      <c r="D39" s="43"/>
      <c r="E39" s="46">
        <v>0</v>
      </c>
      <c r="F39" s="47">
        <v>0</v>
      </c>
      <c r="G39" s="47">
        <v>0</v>
      </c>
      <c r="H39" s="47">
        <v>0</v>
      </c>
      <c r="I39" s="48">
        <v>0</v>
      </c>
      <c r="J39" s="49"/>
    </row>
    <row r="40" spans="1:18" ht="12" thickBot="1" x14ac:dyDescent="0.3">
      <c r="A40" s="18" t="s">
        <v>37</v>
      </c>
      <c r="B40" s="45"/>
      <c r="C40" s="43"/>
      <c r="D40" s="43"/>
      <c r="E40" s="46">
        <v>0</v>
      </c>
      <c r="F40" s="47">
        <v>0</v>
      </c>
      <c r="G40" s="47">
        <v>0</v>
      </c>
      <c r="H40" s="47">
        <v>0</v>
      </c>
      <c r="I40" s="48">
        <v>0</v>
      </c>
      <c r="J40" s="49"/>
      <c r="M40" s="56"/>
    </row>
    <row r="41" spans="1:18" ht="12" thickBot="1" x14ac:dyDescent="0.3">
      <c r="A41" s="18" t="s">
        <v>38</v>
      </c>
      <c r="B41" s="45"/>
      <c r="C41" s="43"/>
      <c r="D41" s="43"/>
      <c r="E41" s="46">
        <v>0</v>
      </c>
      <c r="F41" s="47">
        <v>0</v>
      </c>
      <c r="G41" s="47">
        <v>0</v>
      </c>
      <c r="H41" s="47">
        <v>0</v>
      </c>
      <c r="I41" s="48">
        <v>0</v>
      </c>
      <c r="J41" s="49"/>
      <c r="K41" s="281"/>
    </row>
    <row r="42" spans="1:18" ht="12" thickBot="1" x14ac:dyDescent="0.3">
      <c r="A42" s="18" t="s">
        <v>39</v>
      </c>
      <c r="B42" s="45"/>
      <c r="C42" s="43"/>
      <c r="D42" s="43"/>
      <c r="E42" s="46">
        <v>0</v>
      </c>
      <c r="F42" s="47">
        <v>0</v>
      </c>
      <c r="G42" s="47">
        <v>0</v>
      </c>
      <c r="H42" s="47">
        <v>0</v>
      </c>
      <c r="I42" s="48">
        <v>0</v>
      </c>
      <c r="J42" s="49"/>
      <c r="K42" s="281"/>
      <c r="R42" s="66"/>
    </row>
    <row r="43" spans="1:18" ht="12" thickBot="1" x14ac:dyDescent="0.3">
      <c r="A43" s="18" t="s">
        <v>40</v>
      </c>
      <c r="B43" s="45">
        <v>0</v>
      </c>
      <c r="C43" s="292">
        <v>-79368</v>
      </c>
      <c r="D43" s="43"/>
      <c r="E43" s="46">
        <v>0</v>
      </c>
      <c r="F43" s="47">
        <v>0</v>
      </c>
      <c r="G43" s="47">
        <v>0</v>
      </c>
      <c r="H43" s="47">
        <v>0</v>
      </c>
      <c r="I43" s="48">
        <v>0</v>
      </c>
      <c r="J43" s="49"/>
      <c r="K43" s="56"/>
    </row>
    <row r="44" spans="1:18" x14ac:dyDescent="0.25">
      <c r="A44" s="18" t="s">
        <v>41</v>
      </c>
      <c r="B44" s="52">
        <f>SUM(B34:B43)</f>
        <v>380050</v>
      </c>
      <c r="C44" s="77">
        <f>SUM(C34:C43)</f>
        <v>603013.03</v>
      </c>
      <c r="D44" s="77">
        <f>SUM(D34:D43)</f>
        <v>689263</v>
      </c>
      <c r="E44" s="69">
        <f>SUM(E34:E43)</f>
        <v>727102.85749999993</v>
      </c>
      <c r="F44" s="54">
        <f t="shared" ref="F44:I44" si="5">SUM(F34:F43)</f>
        <v>550730.20053169585</v>
      </c>
      <c r="G44" s="54">
        <f t="shared" si="5"/>
        <v>626316.46600162447</v>
      </c>
      <c r="H44" s="54">
        <f t="shared" si="5"/>
        <v>626316.46600162447</v>
      </c>
      <c r="I44" s="55">
        <f t="shared" si="5"/>
        <v>626316.46600162447</v>
      </c>
      <c r="J44" s="49"/>
    </row>
    <row r="45" spans="1:18" x14ac:dyDescent="0.25">
      <c r="A45" s="18"/>
      <c r="B45" s="78"/>
      <c r="C45" s="78"/>
      <c r="D45" s="78"/>
      <c r="E45" s="79"/>
      <c r="F45" s="80"/>
      <c r="G45" s="80"/>
      <c r="H45" s="80"/>
      <c r="I45" s="81"/>
      <c r="J45" s="49"/>
      <c r="K45" s="56"/>
    </row>
    <row r="46" spans="1:18" x14ac:dyDescent="0.25">
      <c r="A46" s="18"/>
      <c r="B46" s="78"/>
      <c r="C46" s="78"/>
      <c r="D46" s="78"/>
      <c r="E46" s="79"/>
      <c r="F46" s="80"/>
      <c r="G46" s="80"/>
      <c r="H46" s="80"/>
      <c r="I46" s="81"/>
      <c r="J46" s="49"/>
      <c r="K46" s="56"/>
    </row>
    <row r="47" spans="1:18" x14ac:dyDescent="0.25">
      <c r="A47" s="18" t="s">
        <v>42</v>
      </c>
      <c r="B47" s="78"/>
      <c r="C47" s="78"/>
      <c r="D47" s="78"/>
      <c r="E47" s="79"/>
      <c r="F47" s="80"/>
      <c r="G47" s="80"/>
      <c r="H47" s="80"/>
      <c r="I47" s="81"/>
      <c r="J47" s="49"/>
      <c r="K47" s="281"/>
    </row>
    <row r="48" spans="1:18" x14ac:dyDescent="0.25">
      <c r="A48" s="18" t="s">
        <v>43</v>
      </c>
      <c r="B48" s="78"/>
      <c r="C48" s="78"/>
      <c r="D48" s="78"/>
      <c r="E48" s="79"/>
      <c r="F48" s="80"/>
      <c r="G48" s="80"/>
      <c r="H48" s="80"/>
      <c r="I48" s="81"/>
      <c r="J48" s="49"/>
    </row>
    <row r="49" spans="1:11" x14ac:dyDescent="0.25">
      <c r="A49" s="18" t="s">
        <v>44</v>
      </c>
      <c r="B49" s="78">
        <f>+B31+B44</f>
        <v>70669</v>
      </c>
      <c r="C49" s="78">
        <f>+C31+C44</f>
        <v>35760.570000000065</v>
      </c>
      <c r="D49" s="78">
        <f>+D31+D44</f>
        <v>31897.760000000009</v>
      </c>
      <c r="E49" s="79">
        <f>E31+E44</f>
        <v>129474.33854999999</v>
      </c>
      <c r="F49" s="80">
        <f t="shared" ref="F49:I49" si="6">F31+F44</f>
        <v>25826.53868549515</v>
      </c>
      <c r="G49" s="80">
        <f t="shared" si="6"/>
        <v>170334.09300234215</v>
      </c>
      <c r="H49" s="80">
        <f t="shared" si="6"/>
        <v>121569.31136863003</v>
      </c>
      <c r="I49" s="81">
        <f t="shared" si="6"/>
        <v>70990.281727624591</v>
      </c>
      <c r="J49" s="49"/>
      <c r="K49" s="281"/>
    </row>
    <row r="50" spans="1:11" x14ac:dyDescent="0.25">
      <c r="A50" s="18"/>
      <c r="B50" s="78"/>
      <c r="C50" s="78"/>
      <c r="D50" s="78"/>
      <c r="E50" s="79"/>
      <c r="F50" s="80"/>
      <c r="G50" s="80"/>
      <c r="H50" s="80"/>
      <c r="I50" s="81"/>
      <c r="J50" s="49"/>
    </row>
    <row r="51" spans="1:11" x14ac:dyDescent="0.25">
      <c r="A51" s="18" t="s">
        <v>45</v>
      </c>
      <c r="B51" s="78">
        <v>65570</v>
      </c>
      <c r="C51" s="78">
        <f>+B53</f>
        <v>136239</v>
      </c>
      <c r="D51" s="78">
        <f>+C53</f>
        <v>171999.57000000007</v>
      </c>
      <c r="E51" s="79">
        <f>D53</f>
        <v>203897.33000000007</v>
      </c>
      <c r="F51" s="80">
        <f t="shared" ref="F51:I51" si="7">E53</f>
        <v>333371.66855000006</v>
      </c>
      <c r="G51" s="80">
        <f t="shared" si="7"/>
        <v>359198.20723549521</v>
      </c>
      <c r="H51" s="80">
        <f t="shared" si="7"/>
        <v>529532.30023783736</v>
      </c>
      <c r="I51" s="81">
        <f t="shared" si="7"/>
        <v>651101.6116064674</v>
      </c>
      <c r="J51" s="49"/>
    </row>
    <row r="52" spans="1:11" x14ac:dyDescent="0.25">
      <c r="A52" s="18"/>
      <c r="B52" s="82"/>
      <c r="C52" s="78"/>
      <c r="D52" s="78"/>
      <c r="E52" s="79"/>
      <c r="F52" s="80"/>
      <c r="G52" s="80"/>
      <c r="H52" s="80"/>
      <c r="I52" s="81"/>
    </row>
    <row r="53" spans="1:11" ht="12" thickBot="1" x14ac:dyDescent="0.3">
      <c r="A53" s="18" t="s">
        <v>46</v>
      </c>
      <c r="B53" s="83">
        <f>+B49+B52+B51</f>
        <v>136239</v>
      </c>
      <c r="C53" s="83">
        <f>+C49+C52+C51</f>
        <v>171999.57000000007</v>
      </c>
      <c r="D53" s="83">
        <f>+D49+D52+D51</f>
        <v>203897.33000000007</v>
      </c>
      <c r="E53" s="83">
        <f t="shared" ref="E53:I53" si="8">+E49+E52+E51</f>
        <v>333371.66855000006</v>
      </c>
      <c r="F53" s="83">
        <f t="shared" si="8"/>
        <v>359198.20723549521</v>
      </c>
      <c r="G53" s="83">
        <f t="shared" si="8"/>
        <v>529532.30023783736</v>
      </c>
      <c r="H53" s="83">
        <f t="shared" si="8"/>
        <v>651101.6116064674</v>
      </c>
      <c r="I53" s="83">
        <f t="shared" si="8"/>
        <v>722091.89333409199</v>
      </c>
      <c r="K53" s="66"/>
    </row>
    <row r="54" spans="1:11" x14ac:dyDescent="0.25">
      <c r="A54" s="18"/>
      <c r="B54" s="66"/>
      <c r="C54" s="66"/>
      <c r="D54" s="66"/>
      <c r="E54" s="66"/>
      <c r="F54" s="66"/>
      <c r="G54" s="66"/>
      <c r="H54" s="66"/>
      <c r="I54" s="66"/>
      <c r="K54" s="66"/>
    </row>
    <row r="55" spans="1:11" x14ac:dyDescent="0.25">
      <c r="A55" s="35" t="s">
        <v>47</v>
      </c>
      <c r="B55" s="84">
        <v>0</v>
      </c>
      <c r="C55" s="84">
        <v>0</v>
      </c>
      <c r="D55" s="84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K55" s="66"/>
    </row>
    <row r="56" spans="1:11" x14ac:dyDescent="0.25">
      <c r="A56" s="35"/>
      <c r="B56" s="84">
        <v>0</v>
      </c>
      <c r="C56" s="84">
        <v>0</v>
      </c>
      <c r="D56" s="84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</row>
    <row r="57" spans="1:11" x14ac:dyDescent="0.25">
      <c r="A57" s="18" t="s">
        <v>48</v>
      </c>
      <c r="B57" s="85">
        <v>0</v>
      </c>
      <c r="C57" s="84">
        <v>0</v>
      </c>
      <c r="D57" s="84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</row>
    <row r="58" spans="1:11" x14ac:dyDescent="0.25">
      <c r="A58" s="18" t="s">
        <v>49</v>
      </c>
      <c r="B58" s="85">
        <v>0</v>
      </c>
      <c r="C58" s="84">
        <v>0</v>
      </c>
      <c r="D58" s="84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</row>
    <row r="59" spans="1:11" x14ac:dyDescent="0.25">
      <c r="A59" s="18" t="s">
        <v>50</v>
      </c>
      <c r="B59" s="85">
        <v>0</v>
      </c>
      <c r="C59" s="84">
        <v>0</v>
      </c>
      <c r="D59" s="84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</row>
    <row r="60" spans="1:11" x14ac:dyDescent="0.25">
      <c r="A60" s="18" t="s">
        <v>51</v>
      </c>
      <c r="B60" s="85">
        <v>0</v>
      </c>
      <c r="C60" s="84">
        <v>0</v>
      </c>
      <c r="D60" s="84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</row>
    <row r="61" spans="1:11" x14ac:dyDescent="0.25">
      <c r="A61" s="18" t="s">
        <v>52</v>
      </c>
      <c r="B61" s="85">
        <v>0</v>
      </c>
      <c r="C61" s="84">
        <v>0</v>
      </c>
      <c r="D61" s="84">
        <v>0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</row>
    <row r="62" spans="1:11" x14ac:dyDescent="0.25">
      <c r="A62" s="18" t="s">
        <v>53</v>
      </c>
      <c r="B62" s="85">
        <v>0</v>
      </c>
      <c r="C62" s="84">
        <v>0</v>
      </c>
      <c r="D62" s="84">
        <v>0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</row>
    <row r="63" spans="1:11" x14ac:dyDescent="0.25">
      <c r="A63" s="18"/>
      <c r="B63" s="87"/>
      <c r="C63" s="88"/>
      <c r="D63" s="88"/>
      <c r="E63" s="87"/>
      <c r="F63" s="87"/>
      <c r="G63" s="87"/>
      <c r="H63" s="87"/>
      <c r="I63" s="87"/>
    </row>
    <row r="64" spans="1:11" ht="14.5" thickBot="1" x14ac:dyDescent="0.35">
      <c r="A64" s="89" t="s">
        <v>54</v>
      </c>
      <c r="B64" s="87"/>
      <c r="C64" s="88"/>
      <c r="D64" s="88"/>
      <c r="E64" s="87"/>
      <c r="F64" s="87"/>
      <c r="G64" s="87"/>
      <c r="H64" s="87"/>
      <c r="I64" s="87"/>
    </row>
    <row r="65" spans="1:11" s="90" customFormat="1" ht="12" thickBot="1" x14ac:dyDescent="0.3">
      <c r="A65" s="35"/>
      <c r="B65" s="303" t="s">
        <v>10</v>
      </c>
      <c r="C65" s="304"/>
      <c r="D65" s="305"/>
      <c r="E65" s="306" t="s">
        <v>11</v>
      </c>
      <c r="F65" s="307"/>
      <c r="G65" s="307"/>
      <c r="H65" s="307"/>
      <c r="I65" s="308"/>
    </row>
    <row r="66" spans="1:11" x14ac:dyDescent="0.25">
      <c r="A66" s="18"/>
      <c r="B66" s="22" t="s">
        <v>12</v>
      </c>
      <c r="C66" s="23" t="s">
        <v>12</v>
      </c>
      <c r="D66" s="24" t="s">
        <v>12</v>
      </c>
      <c r="E66" s="25" t="s">
        <v>12</v>
      </c>
      <c r="F66" s="26" t="s">
        <v>12</v>
      </c>
      <c r="G66" s="26" t="s">
        <v>12</v>
      </c>
      <c r="H66" s="26" t="s">
        <v>12</v>
      </c>
      <c r="I66" s="27" t="s">
        <v>12</v>
      </c>
    </row>
    <row r="67" spans="1:11" ht="12" thickBot="1" x14ac:dyDescent="0.3">
      <c r="A67" s="35" t="s">
        <v>55</v>
      </c>
      <c r="B67" s="28">
        <v>2021</v>
      </c>
      <c r="C67" s="29">
        <v>2022</v>
      </c>
      <c r="D67" s="30">
        <v>2023</v>
      </c>
      <c r="E67" s="31">
        <v>2024</v>
      </c>
      <c r="F67" s="32">
        <v>2025</v>
      </c>
      <c r="G67" s="33">
        <v>2026</v>
      </c>
      <c r="H67" s="33">
        <v>2027</v>
      </c>
      <c r="I67" s="34">
        <v>2028</v>
      </c>
    </row>
    <row r="68" spans="1:11" ht="12" thickBot="1" x14ac:dyDescent="0.3">
      <c r="A68" s="18" t="s">
        <v>56</v>
      </c>
      <c r="B68" s="91">
        <v>103</v>
      </c>
      <c r="C68" s="92">
        <v>100</v>
      </c>
      <c r="D68" s="93">
        <v>102</v>
      </c>
      <c r="E68" s="94">
        <v>88</v>
      </c>
      <c r="F68" s="95">
        <v>100</v>
      </c>
      <c r="G68" s="95">
        <v>150</v>
      </c>
      <c r="H68" s="95">
        <v>150</v>
      </c>
      <c r="I68" s="95">
        <v>150</v>
      </c>
    </row>
    <row r="69" spans="1:11" ht="12" thickBot="1" x14ac:dyDescent="0.3">
      <c r="A69" s="18" t="s">
        <v>57</v>
      </c>
      <c r="B69" s="92">
        <v>8</v>
      </c>
      <c r="C69" s="92">
        <v>8</v>
      </c>
      <c r="D69" s="93">
        <v>8</v>
      </c>
      <c r="E69" s="94">
        <v>10</v>
      </c>
      <c r="F69" s="95">
        <v>10</v>
      </c>
      <c r="G69" s="95">
        <v>13</v>
      </c>
      <c r="H69" s="95">
        <v>13</v>
      </c>
      <c r="I69" s="95">
        <v>13</v>
      </c>
    </row>
    <row r="70" spans="1:11" ht="12" thickBot="1" x14ac:dyDescent="0.3">
      <c r="A70" s="18" t="s">
        <v>58</v>
      </c>
      <c r="B70" s="92">
        <v>3</v>
      </c>
      <c r="C70" s="92">
        <v>3</v>
      </c>
      <c r="D70" s="93">
        <v>3</v>
      </c>
      <c r="E70" s="94">
        <v>3</v>
      </c>
      <c r="F70" s="95">
        <v>2</v>
      </c>
      <c r="G70" s="95">
        <v>3</v>
      </c>
      <c r="H70" s="95">
        <v>3</v>
      </c>
      <c r="I70" s="95">
        <v>3</v>
      </c>
    </row>
    <row r="71" spans="1:11" ht="12" thickBot="1" x14ac:dyDescent="0.3">
      <c r="A71" s="18" t="s">
        <v>59</v>
      </c>
      <c r="B71" s="96">
        <v>1</v>
      </c>
      <c r="C71" s="96">
        <v>1</v>
      </c>
      <c r="D71" s="93">
        <v>2</v>
      </c>
      <c r="E71" s="97">
        <v>2</v>
      </c>
      <c r="F71" s="98">
        <v>2</v>
      </c>
      <c r="G71" s="98">
        <v>2</v>
      </c>
      <c r="H71" s="98">
        <v>2</v>
      </c>
      <c r="I71" s="98">
        <v>2</v>
      </c>
    </row>
    <row r="72" spans="1:11" x14ac:dyDescent="0.25">
      <c r="A72" s="18"/>
      <c r="B72" s="99"/>
      <c r="C72" s="100"/>
      <c r="D72" s="100"/>
      <c r="E72" s="101"/>
      <c r="F72" s="101"/>
      <c r="G72" s="102"/>
      <c r="H72" s="102"/>
      <c r="I72" s="103"/>
    </row>
    <row r="73" spans="1:11" x14ac:dyDescent="0.25">
      <c r="A73" s="35" t="s">
        <v>60</v>
      </c>
      <c r="B73" s="99"/>
      <c r="C73" s="100"/>
      <c r="D73" s="100"/>
      <c r="E73" s="101"/>
      <c r="F73" s="101"/>
      <c r="G73" s="102"/>
      <c r="H73" s="102"/>
      <c r="I73" s="103"/>
    </row>
    <row r="74" spans="1:11" x14ac:dyDescent="0.25">
      <c r="A74" s="18" t="s">
        <v>61</v>
      </c>
      <c r="B74" s="104">
        <v>94500</v>
      </c>
      <c r="C74" s="293">
        <v>0</v>
      </c>
      <c r="D74" s="105">
        <f>7875*12</f>
        <v>94500</v>
      </c>
      <c r="E74" s="105">
        <f>+'FY 24 Estim spring'!AF60</f>
        <v>94500</v>
      </c>
      <c r="F74" s="107">
        <f>+E74*1.34</f>
        <v>126630.00000000001</v>
      </c>
      <c r="G74" s="107">
        <f>+F74</f>
        <v>126630.00000000001</v>
      </c>
      <c r="H74" s="107">
        <f>+G74*1.025</f>
        <v>129795.75</v>
      </c>
      <c r="I74" s="107">
        <f>+H74</f>
        <v>129795.75</v>
      </c>
    </row>
    <row r="75" spans="1:11" x14ac:dyDescent="0.25">
      <c r="A75" s="18" t="s">
        <v>62</v>
      </c>
      <c r="B75" s="106">
        <v>21267.72</v>
      </c>
      <c r="C75" s="293">
        <v>27281.29</v>
      </c>
      <c r="D75" s="105">
        <f>4848.96+24253.74</f>
        <v>29102.7</v>
      </c>
      <c r="E75" s="105">
        <f>+'FY 24 Estim spring'!AF82+'FY 24 Estim spring'!AF76</f>
        <v>29472.42</v>
      </c>
      <c r="F75" s="107">
        <f>+E75*1.01</f>
        <v>29767.144199999999</v>
      </c>
      <c r="G75" s="107">
        <f>+F75*1.01</f>
        <v>30064.815641999998</v>
      </c>
      <c r="H75" s="107">
        <f>+G75*1.01</f>
        <v>30365.463798419998</v>
      </c>
      <c r="I75" s="107">
        <f>+H75*1.01</f>
        <v>30669.118436404198</v>
      </c>
    </row>
    <row r="76" spans="1:11" x14ac:dyDescent="0.25">
      <c r="A76" s="18" t="s">
        <v>63</v>
      </c>
      <c r="B76" s="106">
        <v>16405.570000000007</v>
      </c>
      <c r="C76" s="293">
        <v>13802</v>
      </c>
      <c r="D76" s="105">
        <f>5215.09+23392.01</f>
        <v>28607.1</v>
      </c>
      <c r="E76" s="105">
        <f>+'FY 24 Estim spring'!AF65+'FY 24 Estim spring'!AF66</f>
        <v>19428.86</v>
      </c>
      <c r="F76" s="107">
        <f t="shared" ref="F76:I91" si="9">+E76*1.01</f>
        <v>19623.1486</v>
      </c>
      <c r="G76" s="107">
        <v>71035.077600000004</v>
      </c>
      <c r="H76" s="107">
        <v>71035.077600000004</v>
      </c>
      <c r="I76" s="107">
        <v>71035.077600000004</v>
      </c>
    </row>
    <row r="77" spans="1:11" x14ac:dyDescent="0.25">
      <c r="A77" s="18" t="s">
        <v>64</v>
      </c>
      <c r="B77" s="106">
        <v>10522</v>
      </c>
      <c r="C77" s="293">
        <v>9393</v>
      </c>
      <c r="D77" s="105">
        <f>+'[1]Pl FY 23'!AF117</f>
        <v>8824</v>
      </c>
      <c r="E77" s="107">
        <f>+'FY 24 Estim spring'!AF113</f>
        <v>11260</v>
      </c>
      <c r="F77" s="105">
        <f t="shared" si="9"/>
        <v>11372.6</v>
      </c>
      <c r="G77" s="107">
        <v>11372.6</v>
      </c>
      <c r="H77" s="107">
        <v>11372.6</v>
      </c>
      <c r="I77" s="107">
        <v>11372.6</v>
      </c>
    </row>
    <row r="78" spans="1:11" x14ac:dyDescent="0.25">
      <c r="A78" s="18" t="s">
        <v>65</v>
      </c>
      <c r="B78" s="106"/>
      <c r="C78" s="293"/>
      <c r="D78" s="105"/>
      <c r="E78" s="107"/>
      <c r="F78" s="105">
        <f t="shared" si="9"/>
        <v>0</v>
      </c>
      <c r="G78" s="107"/>
      <c r="H78" s="107"/>
      <c r="I78" s="107"/>
    </row>
    <row r="79" spans="1:11" x14ac:dyDescent="0.25">
      <c r="A79" s="18" t="s">
        <v>66</v>
      </c>
      <c r="B79" s="106">
        <v>21424.44</v>
      </c>
      <c r="C79" s="293">
        <v>27115.99</v>
      </c>
      <c r="D79" s="105">
        <f>+'[1]Pl FY 23'!AF53</f>
        <v>30252.31</v>
      </c>
      <c r="E79" s="107">
        <f>+'FY 24 Estim spring'!AF52</f>
        <v>31264.483950000002</v>
      </c>
      <c r="F79" s="105">
        <f>+'FY 25 Foundation Only'!L27*0.03</f>
        <v>38562.338402644171</v>
      </c>
      <c r="G79" s="107">
        <f>+'FY 26 Foundation Only'!L27*0.03</f>
        <v>52976.700629162529</v>
      </c>
      <c r="H79" s="107">
        <f>+G79*1.03</f>
        <v>54566.001648037403</v>
      </c>
      <c r="I79" s="107">
        <f>+H79*1.03</f>
        <v>56202.981697478528</v>
      </c>
    </row>
    <row r="80" spans="1:11" x14ac:dyDescent="0.25">
      <c r="A80" s="18" t="s">
        <v>67</v>
      </c>
      <c r="B80" s="106">
        <v>13325</v>
      </c>
      <c r="C80" s="293">
        <v>9680</v>
      </c>
      <c r="D80" s="105">
        <f>+'[1]Pl FY 23'!AF114</f>
        <v>5740</v>
      </c>
      <c r="E80" s="107">
        <f>+'FY 24 Estim spring'!AF110</f>
        <v>9231.5</v>
      </c>
      <c r="F80" s="105">
        <f t="shared" si="9"/>
        <v>9323.8150000000005</v>
      </c>
      <c r="G80" s="107">
        <f t="shared" ref="G80:I80" si="10">9680.1+950</f>
        <v>10630.1</v>
      </c>
      <c r="H80" s="107">
        <f t="shared" si="10"/>
        <v>10630.1</v>
      </c>
      <c r="I80" s="107">
        <f t="shared" si="10"/>
        <v>10630.1</v>
      </c>
      <c r="K80" s="108"/>
    </row>
    <row r="81" spans="1:9" x14ac:dyDescent="0.25">
      <c r="A81" s="18" t="s">
        <v>68</v>
      </c>
      <c r="B81" s="106"/>
      <c r="C81" s="293"/>
      <c r="D81" s="105"/>
      <c r="E81" s="107"/>
      <c r="F81" s="105">
        <f t="shared" si="9"/>
        <v>0</v>
      </c>
      <c r="G81" s="107"/>
      <c r="H81" s="107"/>
      <c r="I81" s="107"/>
    </row>
    <row r="82" spans="1:9" x14ac:dyDescent="0.25">
      <c r="A82" s="18" t="s">
        <v>69</v>
      </c>
      <c r="B82" s="106">
        <v>16600</v>
      </c>
      <c r="C82" s="293">
        <v>76828.55</v>
      </c>
      <c r="D82" s="105">
        <f>+'[1]Pl FY 23'!AF87</f>
        <v>95775</v>
      </c>
      <c r="E82" s="107">
        <f>+'FY 24 Estim spring'!AF88</f>
        <v>121075.52</v>
      </c>
      <c r="F82" s="105">
        <f t="shared" si="9"/>
        <v>122286.2752</v>
      </c>
      <c r="G82" s="107">
        <f>+F82*1.03</f>
        <v>125954.86345600001</v>
      </c>
      <c r="H82" s="107">
        <f>+G82*1.03</f>
        <v>129733.50935968001</v>
      </c>
      <c r="I82" s="107">
        <f>+H82*1.03</f>
        <v>133625.51464047041</v>
      </c>
    </row>
    <row r="83" spans="1:9" x14ac:dyDescent="0.25">
      <c r="A83" s="18" t="s">
        <v>70</v>
      </c>
      <c r="B83" s="106"/>
      <c r="C83" s="293">
        <v>7783.59</v>
      </c>
      <c r="D83" s="105">
        <f>+'[1]410s'!AB150</f>
        <v>11551.08</v>
      </c>
      <c r="E83" s="107">
        <f>+'FY 24 Estim spring'!AF55</f>
        <v>15428.5</v>
      </c>
      <c r="F83" s="105">
        <v>5186</v>
      </c>
      <c r="G83" s="107">
        <v>5186.3500000000004</v>
      </c>
      <c r="H83" s="107">
        <v>5186.3500000000004</v>
      </c>
      <c r="I83" s="107">
        <v>5186.3500000000004</v>
      </c>
    </row>
    <row r="84" spans="1:9" x14ac:dyDescent="0.25">
      <c r="A84" s="18" t="s">
        <v>71</v>
      </c>
      <c r="B84" s="106">
        <v>11919.16</v>
      </c>
      <c r="C84" s="293">
        <v>16888</v>
      </c>
      <c r="D84" s="105">
        <v>16482</v>
      </c>
      <c r="E84" s="105">
        <f>+'FY 24 Estim spring'!AF75</f>
        <v>7829.68</v>
      </c>
      <c r="F84" s="105">
        <f t="shared" si="9"/>
        <v>7907.9768000000004</v>
      </c>
      <c r="G84" s="105">
        <f>+F84*1.03</f>
        <v>8145.216104000001</v>
      </c>
      <c r="H84" s="105">
        <v>5353.2524999999996</v>
      </c>
      <c r="I84" s="105">
        <v>5353.2524999999996</v>
      </c>
    </row>
    <row r="85" spans="1:9" x14ac:dyDescent="0.25">
      <c r="A85" s="18" t="s">
        <v>72</v>
      </c>
      <c r="B85" s="106">
        <v>61004</v>
      </c>
      <c r="C85" s="293">
        <v>138500</v>
      </c>
      <c r="D85" s="105">
        <f>575453-487838</f>
        <v>87615</v>
      </c>
      <c r="E85" s="105">
        <f>669810-496714</f>
        <v>173096</v>
      </c>
      <c r="F85" s="105">
        <f t="shared" si="9"/>
        <v>174826.96</v>
      </c>
      <c r="G85" s="105">
        <f t="shared" ref="G85" si="11">+F85*1.01</f>
        <v>176575.22959999999</v>
      </c>
      <c r="H85" s="105">
        <f t="shared" ref="H85" si="12">+G85*1.01</f>
        <v>178340.98189599998</v>
      </c>
      <c r="I85" s="105">
        <f t="shared" ref="I85" si="13">+H85*1.01</f>
        <v>180124.39171495999</v>
      </c>
    </row>
    <row r="86" spans="1:9" x14ac:dyDescent="0.25">
      <c r="A86" s="18" t="s">
        <v>73</v>
      </c>
      <c r="B86" s="109"/>
      <c r="C86" s="293"/>
      <c r="D86" s="105"/>
      <c r="E86" s="105"/>
      <c r="F86" s="105">
        <f t="shared" si="9"/>
        <v>0</v>
      </c>
      <c r="G86" s="105"/>
      <c r="H86" s="105"/>
      <c r="I86" s="105"/>
    </row>
    <row r="87" spans="1:9" x14ac:dyDescent="0.25">
      <c r="A87" s="18" t="s">
        <v>74</v>
      </c>
      <c r="B87" s="109"/>
      <c r="C87" s="293"/>
      <c r="D87" s="105"/>
      <c r="E87" s="105"/>
      <c r="F87" s="105">
        <f t="shared" si="9"/>
        <v>0</v>
      </c>
      <c r="G87" s="105"/>
      <c r="H87" s="105"/>
      <c r="I87" s="105"/>
    </row>
    <row r="88" spans="1:9" x14ac:dyDescent="0.25">
      <c r="A88" s="18" t="s">
        <v>75</v>
      </c>
      <c r="B88" s="106">
        <v>8225.36</v>
      </c>
      <c r="C88" s="293">
        <v>10022.35</v>
      </c>
      <c r="D88" s="105">
        <f>8081.37+9485.46</f>
        <v>17566.829999999998</v>
      </c>
      <c r="E88" s="105">
        <f>+'FY 24 Estim spring'!AF49+'FY 24 Estim spring'!AF58</f>
        <v>15207.95</v>
      </c>
      <c r="F88" s="105">
        <f t="shared" si="9"/>
        <v>15360.029500000001</v>
      </c>
      <c r="G88" s="105">
        <f>+F88*1.03</f>
        <v>15820.830385000001</v>
      </c>
      <c r="H88" s="105">
        <f>+G88*1.03</f>
        <v>16295.455296550002</v>
      </c>
      <c r="I88" s="105">
        <f>+H88*1.03</f>
        <v>16784.318955446503</v>
      </c>
    </row>
    <row r="89" spans="1:9" x14ac:dyDescent="0.25">
      <c r="A89" s="18" t="s">
        <v>76</v>
      </c>
      <c r="B89" s="106">
        <v>51782.02</v>
      </c>
      <c r="C89" s="293">
        <v>23454.15</v>
      </c>
      <c r="D89" s="105">
        <f>25235.72+22799.5</f>
        <v>48035.22</v>
      </c>
      <c r="E89" s="105">
        <f>+'FY 24 Estim spring'!AF50+'FY 24 Estim spring'!AF54</f>
        <v>64076.5</v>
      </c>
      <c r="F89" s="105">
        <v>51200</v>
      </c>
      <c r="G89" s="105">
        <v>51200</v>
      </c>
      <c r="H89" s="105">
        <v>51200</v>
      </c>
      <c r="I89" s="105">
        <v>51200</v>
      </c>
    </row>
    <row r="90" spans="1:9" x14ac:dyDescent="0.25">
      <c r="A90" s="18" t="s">
        <v>77</v>
      </c>
      <c r="B90" s="106">
        <v>4092.65</v>
      </c>
      <c r="C90" s="293">
        <v>55198.5</v>
      </c>
      <c r="D90" s="105">
        <v>81772</v>
      </c>
      <c r="E90" s="105">
        <f>+'FY 24 Estim spring'!AF85</f>
        <v>63886.55</v>
      </c>
      <c r="F90" s="105">
        <f t="shared" si="9"/>
        <v>64525.415500000003</v>
      </c>
      <c r="G90" s="105">
        <f>+F90*1.12</f>
        <v>72268.465360000017</v>
      </c>
      <c r="H90" s="105">
        <f>+G90*1.12</f>
        <v>80940.681203200031</v>
      </c>
      <c r="I90" s="105">
        <f>+H90*1.12</f>
        <v>90653.56294758404</v>
      </c>
    </row>
    <row r="91" spans="1:9" x14ac:dyDescent="0.25">
      <c r="A91" s="18" t="s">
        <v>78</v>
      </c>
      <c r="B91" s="110"/>
      <c r="C91" s="293"/>
      <c r="D91" s="105">
        <v>19630</v>
      </c>
      <c r="E91" s="105">
        <f>+'FY 24 Estim spring'!AF115-'FY 24 Estim spring'!AF113-'FY 24 Estim spring'!AF110</f>
        <v>14051.910000000003</v>
      </c>
      <c r="F91" s="105">
        <f t="shared" si="9"/>
        <v>14192.429100000003</v>
      </c>
      <c r="G91" s="105">
        <f t="shared" si="9"/>
        <v>14334.353391000002</v>
      </c>
      <c r="H91" s="105">
        <f t="shared" si="9"/>
        <v>14477.696924910002</v>
      </c>
      <c r="I91" s="105">
        <f t="shared" si="9"/>
        <v>14622.473894159102</v>
      </c>
    </row>
    <row r="92" spans="1:9" s="90" customFormat="1" ht="12" thickBot="1" x14ac:dyDescent="0.3">
      <c r="A92" s="18" t="s">
        <v>79</v>
      </c>
      <c r="B92" s="111">
        <v>331067.92000000004</v>
      </c>
      <c r="C92" s="294">
        <f>SUM(C74:C91)</f>
        <v>415947.42000000004</v>
      </c>
      <c r="D92" s="112">
        <f>SUM(D74:D91)</f>
        <v>575453.24</v>
      </c>
      <c r="E92" s="113">
        <f>SUM(E74:E91)</f>
        <v>669809.87395000004</v>
      </c>
      <c r="F92" s="114">
        <f>SUM(F74:F91)</f>
        <v>690764.13230264408</v>
      </c>
      <c r="G92" s="114">
        <f t="shared" ref="G92:I92" si="14">SUM(G74:G91)</f>
        <v>772194.60216716246</v>
      </c>
      <c r="H92" s="114">
        <f t="shared" si="14"/>
        <v>789292.92022679723</v>
      </c>
      <c r="I92" s="114">
        <f t="shared" si="14"/>
        <v>807255.4923865028</v>
      </c>
    </row>
    <row r="93" spans="1:9" s="90" customFormat="1" x14ac:dyDescent="0.25">
      <c r="A93" s="115"/>
      <c r="B93" s="116"/>
      <c r="C93" s="117"/>
      <c r="D93" s="117"/>
      <c r="E93" s="118"/>
      <c r="F93" s="118"/>
      <c r="G93" s="118"/>
      <c r="H93" s="118"/>
      <c r="I93" s="119"/>
    </row>
    <row r="94" spans="1:9" s="90" customFormat="1" ht="13" x14ac:dyDescent="0.3">
      <c r="A94" s="120"/>
      <c r="B94" s="121"/>
      <c r="C94" s="289"/>
      <c r="D94" s="117"/>
      <c r="E94" s="122"/>
      <c r="F94" s="118"/>
      <c r="G94" s="118"/>
      <c r="H94" s="118"/>
      <c r="I94" s="119"/>
    </row>
    <row r="95" spans="1:9" ht="12" thickBot="1" x14ac:dyDescent="0.3">
      <c r="A95" s="35" t="s">
        <v>80</v>
      </c>
      <c r="B95" s="123"/>
      <c r="C95" s="124"/>
      <c r="D95" s="124"/>
      <c r="I95" s="27"/>
    </row>
    <row r="96" spans="1:9" x14ac:dyDescent="0.25">
      <c r="A96" s="18" t="s">
        <v>81</v>
      </c>
      <c r="B96" s="125" t="s">
        <v>82</v>
      </c>
      <c r="C96" s="126">
        <f>-(B40+B41)</f>
        <v>0</v>
      </c>
      <c r="D96" s="127">
        <f>-(C40+C41)</f>
        <v>0</v>
      </c>
      <c r="E96" s="128">
        <f t="shared" ref="E96:I96" si="15">-(E40+E41)</f>
        <v>0</v>
      </c>
      <c r="F96" s="129">
        <f t="shared" si="15"/>
        <v>0</v>
      </c>
      <c r="G96" s="129">
        <f t="shared" si="15"/>
        <v>0</v>
      </c>
      <c r="H96" s="129">
        <f t="shared" si="15"/>
        <v>0</v>
      </c>
      <c r="I96" s="130">
        <f t="shared" si="15"/>
        <v>0</v>
      </c>
    </row>
    <row r="97" spans="1:9" x14ac:dyDescent="0.25">
      <c r="A97" s="18" t="s">
        <v>83</v>
      </c>
      <c r="B97" s="131">
        <f>IFERROR((B31+SUM(#REF!))/B96,0)</f>
        <v>0</v>
      </c>
      <c r="C97" s="132">
        <f>IFERROR((C31+SUM(B34:B38))/C96,0)</f>
        <v>0</v>
      </c>
      <c r="D97" s="133">
        <f>IFERROR((D31+SUM(C34:C38))/D96,0)</f>
        <v>0</v>
      </c>
      <c r="E97" s="134">
        <f t="shared" ref="E97:I97" si="16">IFERROR((E31+SUM(E34:E38))/E96,0)</f>
        <v>0</v>
      </c>
      <c r="F97" s="135">
        <f t="shared" si="16"/>
        <v>0</v>
      </c>
      <c r="G97" s="135">
        <f t="shared" si="16"/>
        <v>0</v>
      </c>
      <c r="H97" s="135">
        <f t="shared" si="16"/>
        <v>0</v>
      </c>
      <c r="I97" s="136">
        <f t="shared" si="16"/>
        <v>0</v>
      </c>
    </row>
    <row r="98" spans="1:9" x14ac:dyDescent="0.25">
      <c r="A98" s="18" t="s">
        <v>84</v>
      </c>
      <c r="B98" s="137">
        <f>IFERROR((#REF!/#REF!)-1,0)</f>
        <v>0</v>
      </c>
      <c r="C98" s="138">
        <f>IFERROR((B68/#REF!)-1,0)</f>
        <v>0</v>
      </c>
      <c r="D98" s="139">
        <f>IFERROR((C68/B68)-1,0)</f>
        <v>-2.9126213592232997E-2</v>
      </c>
      <c r="E98" s="140">
        <f>IFERROR((E68/C68)-1,0)</f>
        <v>-0.12</v>
      </c>
      <c r="F98" s="141">
        <f t="shared" ref="F98:I98" si="17">IFERROR((F68/E68)-1,0)</f>
        <v>0.13636363636363646</v>
      </c>
      <c r="G98" s="141">
        <f t="shared" si="17"/>
        <v>0.5</v>
      </c>
      <c r="H98" s="141">
        <f t="shared" si="17"/>
        <v>0</v>
      </c>
      <c r="I98" s="142">
        <f t="shared" si="17"/>
        <v>0</v>
      </c>
    </row>
    <row r="99" spans="1:9" x14ac:dyDescent="0.25">
      <c r="A99" s="18" t="s">
        <v>85</v>
      </c>
      <c r="B99" s="137">
        <f>IFERROR((#REF!/#REF!)-1,0)</f>
        <v>0</v>
      </c>
      <c r="C99" s="138">
        <f>IFERROR((B24/#REF!)-1,0)</f>
        <v>0</v>
      </c>
      <c r="D99" s="139">
        <f>IFERROR((C24/B24)-1,0)</f>
        <v>0</v>
      </c>
      <c r="E99" s="140">
        <f>IFERROR((E24/C24)-1,0)</f>
        <v>0</v>
      </c>
      <c r="F99" s="141">
        <f t="shared" ref="F99:I99" si="18">IFERROR((F24/E24)-1,0)</f>
        <v>0</v>
      </c>
      <c r="G99" s="141">
        <f t="shared" si="18"/>
        <v>0</v>
      </c>
      <c r="H99" s="141">
        <f t="shared" si="18"/>
        <v>0</v>
      </c>
      <c r="I99" s="142">
        <f t="shared" si="18"/>
        <v>0</v>
      </c>
    </row>
    <row r="100" spans="1:9" x14ac:dyDescent="0.25">
      <c r="A100" s="18" t="s">
        <v>86</v>
      </c>
      <c r="B100" s="137">
        <f>IFERROR((#REF!/#REF!)-1,0)</f>
        <v>0</v>
      </c>
      <c r="C100" s="138">
        <f>IFERROR((B17/#REF!)-1,0)</f>
        <v>0</v>
      </c>
      <c r="D100" s="139">
        <f>IFERROR((C17/B17)-1,0)</f>
        <v>-4.8945955603198033E-2</v>
      </c>
      <c r="E100" s="140">
        <f>IFERROR((E17/C17)-1,0)</f>
        <v>0.15664273635618664</v>
      </c>
      <c r="F100" s="141">
        <f t="shared" ref="F100:I100" si="19">IFERROR((F17/E17)-1,0)</f>
        <v>0.12056914311778999</v>
      </c>
      <c r="G100" s="141">
        <f t="shared" si="19"/>
        <v>0.36677685930784532</v>
      </c>
      <c r="H100" s="141">
        <f t="shared" si="19"/>
        <v>0</v>
      </c>
      <c r="I100" s="142">
        <f t="shared" si="19"/>
        <v>0</v>
      </c>
    </row>
    <row r="101" spans="1:9" x14ac:dyDescent="0.25">
      <c r="A101" s="18" t="s">
        <v>87</v>
      </c>
      <c r="B101" s="137">
        <f>IFERROR((#REF!/#REF!)-1,0)</f>
        <v>0</v>
      </c>
      <c r="C101" s="138">
        <f>IFERROR((B44/#REF!)-1,0)</f>
        <v>0</v>
      </c>
      <c r="D101" s="139">
        <f>IFERROR((C44/B44)-1,0)</f>
        <v>0.58666762268122619</v>
      </c>
      <c r="E101" s="140">
        <f>IFERROR((E44/C44)-1,0)</f>
        <v>0.20578299526960442</v>
      </c>
      <c r="F101" s="141">
        <f t="shared" ref="F101:I101" si="20">IFERROR((F44/E44)-1,0)</f>
        <v>-0.24256906041426762</v>
      </c>
      <c r="G101" s="141">
        <f t="shared" si="20"/>
        <v>0.13724735886456707</v>
      </c>
      <c r="H101" s="141">
        <f t="shared" si="20"/>
        <v>0</v>
      </c>
      <c r="I101" s="142">
        <f t="shared" si="20"/>
        <v>0</v>
      </c>
    </row>
    <row r="102" spans="1:9" ht="12" thickBot="1" x14ac:dyDescent="0.3">
      <c r="A102" s="143" t="s">
        <v>88</v>
      </c>
      <c r="B102" s="144">
        <f>IFERROR(B51/(#REF!+SUM(#REF!)/365),0)</f>
        <v>0</v>
      </c>
      <c r="C102" s="145">
        <f>IFERROR(C51/(B28+SUM(B40:B41)/365),0)</f>
        <v>0.11306694684636011</v>
      </c>
      <c r="D102" s="146">
        <f>IFERROR(D51/(C28+SUM(C40:C41)/365),0)</f>
        <v>0.12121366158619951</v>
      </c>
      <c r="E102" s="147">
        <f t="shared" ref="E102:I102" si="21">IFERROR(E51/(E28+SUM(E40:E41)/365),0)</f>
        <v>0.12882300021890039</v>
      </c>
      <c r="F102" s="148">
        <f t="shared" si="21"/>
        <v>0.20467014591460139</v>
      </c>
      <c r="G102" s="148">
        <f t="shared" si="21"/>
        <v>0.18281711464123568</v>
      </c>
      <c r="H102" s="148">
        <f t="shared" si="21"/>
        <v>0.26298311413788167</v>
      </c>
      <c r="I102" s="149">
        <f t="shared" si="21"/>
        <v>0.31543494752385709</v>
      </c>
    </row>
    <row r="103" spans="1:9" x14ac:dyDescent="0.25">
      <c r="I103" s="26"/>
    </row>
    <row r="104" spans="1:9" ht="12" thickBot="1" x14ac:dyDescent="0.3">
      <c r="A104" s="150" t="s">
        <v>89</v>
      </c>
      <c r="I104" s="26"/>
    </row>
    <row r="105" spans="1:9" x14ac:dyDescent="0.25">
      <c r="A105" s="151"/>
      <c r="B105" s="309" t="s">
        <v>90</v>
      </c>
      <c r="C105" s="310"/>
      <c r="D105" s="310"/>
      <c r="E105" s="310"/>
      <c r="F105" s="310"/>
      <c r="G105" s="311"/>
      <c r="H105" s="152"/>
      <c r="I105" s="152"/>
    </row>
    <row r="106" spans="1:9" ht="12" thickBot="1" x14ac:dyDescent="0.3">
      <c r="A106" s="151"/>
      <c r="B106" s="312"/>
      <c r="C106" s="313"/>
      <c r="D106" s="313"/>
      <c r="E106" s="313"/>
      <c r="F106" s="313"/>
      <c r="G106" s="314"/>
      <c r="H106" s="152"/>
      <c r="I106" s="152"/>
    </row>
    <row r="107" spans="1:9" ht="29" x14ac:dyDescent="0.25">
      <c r="A107" s="151"/>
      <c r="B107" s="153" t="s">
        <v>91</v>
      </c>
      <c r="C107" s="154" t="s">
        <v>92</v>
      </c>
      <c r="D107" s="154" t="s">
        <v>93</v>
      </c>
      <c r="E107" s="154" t="s">
        <v>94</v>
      </c>
      <c r="F107" s="155" t="s">
        <v>95</v>
      </c>
      <c r="G107" s="156" t="s">
        <v>96</v>
      </c>
      <c r="H107" s="157"/>
      <c r="I107" s="157"/>
    </row>
    <row r="108" spans="1:9" ht="14.5" x14ac:dyDescent="0.25">
      <c r="A108" s="151"/>
      <c r="B108" s="158" t="s">
        <v>97</v>
      </c>
      <c r="C108" s="159">
        <v>0</v>
      </c>
      <c r="D108" s="159">
        <v>0</v>
      </c>
      <c r="E108" s="159">
        <v>0</v>
      </c>
      <c r="F108" s="159">
        <v>0</v>
      </c>
      <c r="G108" s="160"/>
      <c r="H108" s="161"/>
      <c r="I108" s="162"/>
    </row>
    <row r="109" spans="1:9" ht="14.5" x14ac:dyDescent="0.25">
      <c r="A109" s="151"/>
      <c r="B109" s="163" t="s">
        <v>98</v>
      </c>
      <c r="C109" s="164">
        <v>0</v>
      </c>
      <c r="D109" s="164">
        <v>0</v>
      </c>
      <c r="E109" s="164">
        <v>0</v>
      </c>
      <c r="F109" s="165">
        <f>+C109+D109</f>
        <v>0</v>
      </c>
      <c r="G109" s="166"/>
      <c r="H109" s="161"/>
      <c r="I109" s="162"/>
    </row>
    <row r="110" spans="1:9" ht="14.5" x14ac:dyDescent="0.25">
      <c r="A110" s="151"/>
      <c r="B110" s="163"/>
      <c r="C110" s="164"/>
      <c r="D110" s="164"/>
      <c r="E110" s="164"/>
      <c r="F110" s="165"/>
      <c r="G110" s="166"/>
      <c r="H110" s="161"/>
      <c r="I110" s="162"/>
    </row>
    <row r="111" spans="1:9" ht="29" x14ac:dyDescent="0.25">
      <c r="A111" s="151"/>
      <c r="B111" s="158" t="s">
        <v>99</v>
      </c>
      <c r="C111" s="167"/>
      <c r="D111" s="167"/>
      <c r="E111" s="167">
        <v>0</v>
      </c>
      <c r="F111" s="165"/>
      <c r="G111" s="160"/>
      <c r="H111" s="296"/>
      <c r="I111" s="297"/>
    </row>
    <row r="112" spans="1:9" ht="14.5" x14ac:dyDescent="0.25">
      <c r="A112" s="151"/>
      <c r="B112" s="163" t="s">
        <v>100</v>
      </c>
      <c r="C112" s="164">
        <v>0</v>
      </c>
      <c r="D112" s="164">
        <v>0</v>
      </c>
      <c r="E112" s="164">
        <v>0</v>
      </c>
      <c r="F112" s="165">
        <v>0</v>
      </c>
      <c r="G112" s="168"/>
      <c r="H112" s="296"/>
      <c r="I112" s="297"/>
    </row>
    <row r="113" spans="1:9" ht="14.5" x14ac:dyDescent="0.25">
      <c r="A113" s="151"/>
      <c r="B113" s="158" t="s">
        <v>101</v>
      </c>
      <c r="C113" s="167">
        <v>0</v>
      </c>
      <c r="D113" s="167">
        <v>0</v>
      </c>
      <c r="E113" s="167">
        <v>0</v>
      </c>
      <c r="F113" s="159">
        <v>0</v>
      </c>
      <c r="G113" s="160"/>
      <c r="H113" s="296"/>
      <c r="I113" s="297"/>
    </row>
    <row r="114" spans="1:9" ht="14.5" x14ac:dyDescent="0.25">
      <c r="A114" s="151"/>
      <c r="B114" s="163" t="s">
        <v>102</v>
      </c>
      <c r="C114" s="164">
        <v>0</v>
      </c>
      <c r="D114" s="164">
        <v>0</v>
      </c>
      <c r="E114" s="164">
        <v>0</v>
      </c>
      <c r="F114" s="165">
        <f>+C114+D114</f>
        <v>0</v>
      </c>
      <c r="G114" s="168"/>
      <c r="H114" s="296"/>
      <c r="I114" s="297"/>
    </row>
    <row r="115" spans="1:9" ht="44" thickBot="1" x14ac:dyDescent="0.3">
      <c r="A115" s="151"/>
      <c r="B115" s="169" t="s">
        <v>103</v>
      </c>
      <c r="C115" s="170">
        <v>0</v>
      </c>
      <c r="D115" s="170">
        <v>0</v>
      </c>
      <c r="E115" s="170">
        <v>0</v>
      </c>
      <c r="F115" s="171">
        <v>0</v>
      </c>
      <c r="G115" s="172"/>
      <c r="H115" s="296"/>
      <c r="I115" s="297"/>
    </row>
    <row r="116" spans="1:9" ht="15" thickBot="1" x14ac:dyDescent="0.3">
      <c r="A116" s="151"/>
      <c r="B116" s="173"/>
      <c r="C116" s="174"/>
      <c r="D116" s="174"/>
      <c r="E116" s="174"/>
      <c r="F116" s="175"/>
      <c r="G116" s="176"/>
      <c r="H116" s="26"/>
      <c r="I116" s="26"/>
    </row>
    <row r="117" spans="1:9" ht="15" thickBot="1" x14ac:dyDescent="0.3">
      <c r="A117" s="151"/>
      <c r="B117" s="177" t="s">
        <v>79</v>
      </c>
      <c r="C117" s="178">
        <f>SUM(C108:C115)</f>
        <v>0</v>
      </c>
      <c r="D117" s="178">
        <f t="shared" ref="D117:F117" si="22">SUM(D108:D115)</f>
        <v>0</v>
      </c>
      <c r="E117" s="178">
        <f t="shared" si="22"/>
        <v>0</v>
      </c>
      <c r="F117" s="179">
        <f t="shared" si="22"/>
        <v>0</v>
      </c>
      <c r="G117" s="176"/>
      <c r="H117" s="26"/>
      <c r="I117" s="26"/>
    </row>
    <row r="118" spans="1:9" x14ac:dyDescent="0.25">
      <c r="A118" s="151"/>
      <c r="E118" s="26"/>
      <c r="F118" s="26"/>
      <c r="G118" s="26"/>
      <c r="H118" s="26"/>
      <c r="I118" s="26"/>
    </row>
    <row r="119" spans="1:9" ht="13" x14ac:dyDescent="0.3">
      <c r="A119" s="11" t="s">
        <v>89</v>
      </c>
      <c r="E119" s="26"/>
      <c r="F119" s="26"/>
      <c r="G119" s="26"/>
      <c r="H119" s="26"/>
      <c r="I119" s="26"/>
    </row>
    <row r="120" spans="1:9" ht="13" x14ac:dyDescent="0.3">
      <c r="A120" s="11" t="s">
        <v>391</v>
      </c>
      <c r="E120" s="26"/>
      <c r="F120" s="26"/>
      <c r="G120" s="26"/>
      <c r="H120" s="26"/>
      <c r="I120" s="26"/>
    </row>
    <row r="121" spans="1:9" ht="13" x14ac:dyDescent="0.3">
      <c r="A121" s="11" t="s">
        <v>423</v>
      </c>
      <c r="E121" s="26"/>
      <c r="F121" s="26"/>
      <c r="G121" s="26"/>
      <c r="H121" s="26"/>
      <c r="I121" s="26"/>
    </row>
    <row r="122" spans="1:9" ht="13" x14ac:dyDescent="0.3">
      <c r="A122" s="11"/>
      <c r="E122" s="26"/>
      <c r="F122" s="26"/>
      <c r="G122" s="26"/>
      <c r="H122" s="26"/>
      <c r="I122" s="26"/>
    </row>
    <row r="123" spans="1:9" ht="13" x14ac:dyDescent="0.3">
      <c r="A123" s="11" t="s">
        <v>394</v>
      </c>
      <c r="E123" s="26"/>
      <c r="F123" s="26"/>
      <c r="G123" s="26"/>
      <c r="H123" s="26"/>
      <c r="I123" s="26"/>
    </row>
    <row r="124" spans="1:9" ht="13" x14ac:dyDescent="0.3">
      <c r="A124" s="11" t="s">
        <v>383</v>
      </c>
      <c r="E124" s="26"/>
      <c r="F124" s="26"/>
      <c r="G124" s="26"/>
      <c r="H124" s="26"/>
      <c r="I124" s="26"/>
    </row>
    <row r="125" spans="1:9" ht="13" x14ac:dyDescent="0.3">
      <c r="A125" s="11" t="s">
        <v>392</v>
      </c>
      <c r="E125" s="26"/>
      <c r="F125" s="26"/>
      <c r="G125" s="26"/>
      <c r="H125" s="26"/>
      <c r="I125" s="26"/>
    </row>
    <row r="126" spans="1:9" ht="13" x14ac:dyDescent="0.3">
      <c r="A126" s="11" t="s">
        <v>384</v>
      </c>
      <c r="E126" s="26"/>
      <c r="F126" s="26"/>
      <c r="G126" s="26"/>
      <c r="H126" s="26"/>
      <c r="I126" s="26"/>
    </row>
    <row r="127" spans="1:9" ht="13" x14ac:dyDescent="0.3">
      <c r="A127" s="11"/>
      <c r="E127" s="26"/>
      <c r="F127" s="26"/>
      <c r="G127" s="26"/>
      <c r="H127" s="26"/>
      <c r="I127" s="26"/>
    </row>
    <row r="128" spans="1:9" ht="13" x14ac:dyDescent="0.3">
      <c r="A128" s="11" t="s">
        <v>389</v>
      </c>
      <c r="E128" s="26"/>
      <c r="F128" s="26"/>
      <c r="G128" s="26"/>
      <c r="H128" s="26"/>
      <c r="I128" s="26"/>
    </row>
    <row r="129" spans="1:9" ht="13" x14ac:dyDescent="0.3">
      <c r="A129" s="11" t="s">
        <v>390</v>
      </c>
      <c r="E129" s="26"/>
      <c r="F129" s="26"/>
      <c r="G129" s="26"/>
      <c r="H129" s="26"/>
      <c r="I129" s="26"/>
    </row>
    <row r="130" spans="1:9" ht="13" x14ac:dyDescent="0.3">
      <c r="A130" s="11" t="s">
        <v>393</v>
      </c>
      <c r="E130" s="26"/>
      <c r="F130" s="26"/>
      <c r="G130" s="26"/>
      <c r="H130" s="26"/>
      <c r="I130" s="26"/>
    </row>
    <row r="131" spans="1:9" ht="13" x14ac:dyDescent="0.3">
      <c r="A131" s="11"/>
      <c r="E131" s="26"/>
      <c r="F131" s="26"/>
      <c r="G131" s="26"/>
      <c r="H131" s="26"/>
      <c r="I131" s="26"/>
    </row>
    <row r="132" spans="1:9" ht="13" x14ac:dyDescent="0.3">
      <c r="A132" s="11" t="s">
        <v>416</v>
      </c>
      <c r="E132" s="26"/>
      <c r="F132" s="26"/>
      <c r="G132" s="26"/>
      <c r="H132" s="26"/>
      <c r="I132" s="26"/>
    </row>
    <row r="133" spans="1:9" ht="13" x14ac:dyDescent="0.3">
      <c r="A133" s="11" t="s">
        <v>417</v>
      </c>
      <c r="E133" s="26"/>
      <c r="F133" s="26"/>
      <c r="G133" s="26"/>
      <c r="H133" s="26"/>
      <c r="I133" s="26"/>
    </row>
    <row r="134" spans="1:9" ht="13" x14ac:dyDescent="0.3">
      <c r="A134" s="11" t="s">
        <v>393</v>
      </c>
      <c r="E134" s="26"/>
      <c r="F134" s="26"/>
      <c r="G134" s="26"/>
      <c r="H134" s="26"/>
      <c r="I134" s="26"/>
    </row>
    <row r="135" spans="1:9" ht="13" x14ac:dyDescent="0.3">
      <c r="A135" s="11"/>
      <c r="E135" s="26"/>
      <c r="F135" s="26"/>
      <c r="G135" s="26"/>
      <c r="H135" s="26"/>
      <c r="I135" s="26"/>
    </row>
    <row r="136" spans="1:9" ht="13" x14ac:dyDescent="0.3">
      <c r="A136" s="11" t="s">
        <v>418</v>
      </c>
      <c r="E136" s="26"/>
      <c r="F136" s="26"/>
      <c r="G136" s="26"/>
      <c r="H136" s="26"/>
      <c r="I136" s="26"/>
    </row>
    <row r="137" spans="1:9" ht="13" x14ac:dyDescent="0.3">
      <c r="A137" s="11"/>
      <c r="E137" s="26"/>
      <c r="F137" s="26"/>
      <c r="G137" s="26"/>
      <c r="H137" s="26"/>
      <c r="I137" s="26"/>
    </row>
    <row r="138" spans="1:9" ht="13" x14ac:dyDescent="0.3">
      <c r="A138" s="11" t="s">
        <v>399</v>
      </c>
      <c r="E138" s="26"/>
      <c r="F138" s="26"/>
      <c r="G138" s="26"/>
      <c r="H138" s="26"/>
      <c r="I138" s="26"/>
    </row>
    <row r="139" spans="1:9" ht="13" x14ac:dyDescent="0.3">
      <c r="A139" s="11" t="s">
        <v>385</v>
      </c>
      <c r="E139" s="26"/>
      <c r="F139" s="26"/>
      <c r="G139" s="26"/>
      <c r="H139" s="26"/>
      <c r="I139" s="26"/>
    </row>
    <row r="140" spans="1:9" ht="12.5" x14ac:dyDescent="0.25">
      <c r="A140" s="180" t="s">
        <v>109</v>
      </c>
      <c r="B140" s="180"/>
      <c r="C140" s="180"/>
      <c r="D140" s="180"/>
      <c r="E140" s="26"/>
      <c r="F140" s="26"/>
      <c r="G140" s="26"/>
      <c r="H140" s="26"/>
      <c r="I140" s="26"/>
    </row>
    <row r="141" spans="1:9" x14ac:dyDescent="0.25">
      <c r="E141" s="26"/>
      <c r="F141" s="26"/>
      <c r="G141" s="26"/>
      <c r="H141" s="26"/>
      <c r="I141" s="26"/>
    </row>
    <row r="142" spans="1:9" ht="13" x14ac:dyDescent="0.3">
      <c r="A142" s="11" t="s">
        <v>395</v>
      </c>
      <c r="E142" s="26"/>
      <c r="F142" s="26"/>
      <c r="G142" s="26"/>
      <c r="H142" s="26"/>
      <c r="I142" s="26"/>
    </row>
    <row r="143" spans="1:9" ht="13" x14ac:dyDescent="0.3">
      <c r="A143" s="11"/>
      <c r="E143" s="26"/>
      <c r="F143" s="26"/>
      <c r="G143" s="26"/>
      <c r="H143" s="26"/>
      <c r="I143" s="26"/>
    </row>
    <row r="144" spans="1:9" ht="13" x14ac:dyDescent="0.3">
      <c r="A144" s="11" t="s">
        <v>419</v>
      </c>
      <c r="E144" s="26"/>
      <c r="F144" s="26"/>
      <c r="G144" s="26"/>
      <c r="H144" s="26"/>
      <c r="I144" s="26"/>
    </row>
    <row r="145" spans="1:9" ht="13" x14ac:dyDescent="0.3">
      <c r="A145" s="11" t="s">
        <v>396</v>
      </c>
      <c r="E145" s="26"/>
      <c r="F145" s="26"/>
      <c r="G145" s="26"/>
      <c r="H145" s="26"/>
      <c r="I145" s="26"/>
    </row>
    <row r="146" spans="1:9" ht="13" x14ac:dyDescent="0.3">
      <c r="A146" s="11"/>
      <c r="E146" s="26"/>
      <c r="F146" s="26"/>
      <c r="G146" s="26"/>
      <c r="H146" s="26"/>
      <c r="I146" s="26"/>
    </row>
    <row r="147" spans="1:9" ht="13" x14ac:dyDescent="0.3">
      <c r="A147" s="11" t="s">
        <v>397</v>
      </c>
      <c r="E147" s="26"/>
      <c r="F147" s="26"/>
      <c r="G147" s="26"/>
      <c r="H147" s="26"/>
      <c r="I147" s="26"/>
    </row>
    <row r="148" spans="1:9" ht="13" x14ac:dyDescent="0.3">
      <c r="A148" s="11"/>
      <c r="E148" s="26"/>
      <c r="F148" s="26"/>
      <c r="G148" s="26"/>
      <c r="H148" s="26"/>
      <c r="I148" s="26"/>
    </row>
    <row r="149" spans="1:9" ht="13" x14ac:dyDescent="0.3">
      <c r="A149" s="11" t="s">
        <v>400</v>
      </c>
      <c r="E149" s="26"/>
      <c r="F149" s="26"/>
      <c r="G149" s="26"/>
      <c r="H149" s="26"/>
      <c r="I149" s="26"/>
    </row>
    <row r="150" spans="1:9" ht="13" x14ac:dyDescent="0.3">
      <c r="A150" s="11" t="s">
        <v>398</v>
      </c>
      <c r="E150" s="26"/>
      <c r="F150" s="26"/>
      <c r="G150" s="26"/>
      <c r="H150" s="26"/>
      <c r="I150" s="26"/>
    </row>
    <row r="151" spans="1:9" ht="13" x14ac:dyDescent="0.3">
      <c r="A151" s="11"/>
      <c r="E151" s="26"/>
      <c r="F151" s="26"/>
      <c r="G151" s="26"/>
      <c r="H151" s="26"/>
      <c r="I151" s="26"/>
    </row>
    <row r="152" spans="1:9" ht="13" x14ac:dyDescent="0.3">
      <c r="A152" s="11"/>
      <c r="E152" s="26"/>
      <c r="F152" s="26"/>
      <c r="G152" s="26"/>
      <c r="H152" s="26"/>
      <c r="I152" s="26"/>
    </row>
    <row r="153" spans="1:9" ht="13" x14ac:dyDescent="0.25">
      <c r="A153" s="282" t="s">
        <v>60</v>
      </c>
      <c r="B153" s="180"/>
      <c r="C153" s="180"/>
      <c r="D153" s="180"/>
      <c r="E153" s="180"/>
      <c r="F153" s="180"/>
      <c r="G153" s="180"/>
      <c r="H153" s="180"/>
      <c r="I153" s="26"/>
    </row>
    <row r="154" spans="1:9" ht="13" x14ac:dyDescent="0.25">
      <c r="A154" s="282" t="s">
        <v>388</v>
      </c>
      <c r="B154" s="180"/>
      <c r="C154" s="180"/>
      <c r="D154" s="180"/>
      <c r="E154" s="180"/>
      <c r="F154" s="180"/>
      <c r="G154" s="180"/>
      <c r="H154" s="180"/>
      <c r="I154" s="26"/>
    </row>
    <row r="155" spans="1:9" ht="12.5" x14ac:dyDescent="0.25">
      <c r="A155" s="180" t="s">
        <v>401</v>
      </c>
      <c r="B155" s="180"/>
      <c r="C155" s="180"/>
      <c r="D155" s="180"/>
      <c r="E155" s="180"/>
      <c r="F155" s="180"/>
      <c r="G155" s="180"/>
      <c r="H155" s="180"/>
      <c r="I155" s="26"/>
    </row>
    <row r="156" spans="1:9" ht="12.5" x14ac:dyDescent="0.25">
      <c r="A156" s="180" t="s">
        <v>403</v>
      </c>
      <c r="B156" s="180"/>
      <c r="C156" s="180"/>
      <c r="D156" s="180"/>
      <c r="E156" s="180"/>
      <c r="F156" s="180"/>
      <c r="G156" s="180"/>
      <c r="H156" s="180"/>
      <c r="I156" s="26"/>
    </row>
    <row r="157" spans="1:9" ht="12.5" x14ac:dyDescent="0.25">
      <c r="A157" s="180" t="s">
        <v>402</v>
      </c>
      <c r="B157" s="180"/>
      <c r="C157" s="180"/>
      <c r="D157" s="180"/>
      <c r="E157" s="180"/>
      <c r="F157" s="180"/>
      <c r="G157" s="180"/>
      <c r="H157" s="180"/>
      <c r="I157" s="26"/>
    </row>
    <row r="158" spans="1:9" ht="12.5" x14ac:dyDescent="0.25">
      <c r="A158" s="180" t="s">
        <v>404</v>
      </c>
      <c r="B158" s="180"/>
      <c r="C158" s="180"/>
      <c r="D158" s="180"/>
      <c r="E158" s="180"/>
      <c r="F158" s="180"/>
      <c r="G158" s="180"/>
      <c r="H158" s="180"/>
      <c r="I158" s="26"/>
    </row>
    <row r="159" spans="1:9" ht="12.5" x14ac:dyDescent="0.25">
      <c r="A159" s="180"/>
      <c r="B159" s="180"/>
      <c r="C159" s="180"/>
      <c r="D159" s="180"/>
      <c r="E159" s="180"/>
      <c r="F159" s="180"/>
      <c r="G159" s="180"/>
      <c r="H159" s="180"/>
      <c r="I159" s="26"/>
    </row>
    <row r="160" spans="1:9" ht="12.5" x14ac:dyDescent="0.25">
      <c r="A160" s="180" t="s">
        <v>387</v>
      </c>
      <c r="B160" s="180"/>
      <c r="C160" s="180"/>
      <c r="D160" s="180"/>
      <c r="E160" s="180"/>
      <c r="F160" s="180"/>
      <c r="G160" s="180"/>
      <c r="H160" s="180"/>
      <c r="I160" s="26"/>
    </row>
    <row r="161" spans="1:9" ht="12.5" x14ac:dyDescent="0.25">
      <c r="A161" s="180" t="s">
        <v>386</v>
      </c>
      <c r="B161" s="180"/>
      <c r="C161" s="180"/>
      <c r="D161" s="180"/>
      <c r="E161" s="180"/>
      <c r="F161" s="180"/>
      <c r="G161" s="180"/>
      <c r="H161" s="180"/>
      <c r="I161" s="26"/>
    </row>
    <row r="162" spans="1:9" ht="12.5" x14ac:dyDescent="0.25">
      <c r="A162" s="180"/>
      <c r="B162" s="180"/>
      <c r="C162" s="180"/>
      <c r="D162" s="180"/>
      <c r="E162" s="180"/>
      <c r="F162" s="180"/>
      <c r="G162" s="180"/>
      <c r="H162" s="180"/>
      <c r="I162" s="26"/>
    </row>
    <row r="163" spans="1:9" ht="12.5" x14ac:dyDescent="0.25">
      <c r="A163" s="180" t="s">
        <v>119</v>
      </c>
      <c r="B163" s="180"/>
      <c r="C163" s="180"/>
      <c r="D163" s="180"/>
      <c r="E163" s="180"/>
      <c r="F163" s="180"/>
      <c r="G163" s="180"/>
      <c r="H163" s="180"/>
      <c r="I163" s="26"/>
    </row>
    <row r="164" spans="1:9" ht="12.5" x14ac:dyDescent="0.25">
      <c r="A164" s="180" t="s">
        <v>120</v>
      </c>
      <c r="B164" s="180"/>
      <c r="C164" s="180"/>
      <c r="D164" s="180"/>
      <c r="E164" s="180"/>
      <c r="F164" s="180"/>
      <c r="G164" s="180"/>
      <c r="H164" s="180"/>
      <c r="I164" s="26"/>
    </row>
    <row r="165" spans="1:9" ht="12.5" x14ac:dyDescent="0.25">
      <c r="A165" s="180"/>
      <c r="B165" s="180"/>
      <c r="C165" s="180"/>
      <c r="D165" s="180"/>
      <c r="E165" s="180"/>
      <c r="F165" s="180"/>
      <c r="G165" s="180"/>
      <c r="H165" s="180"/>
      <c r="I165" s="26"/>
    </row>
    <row r="166" spans="1:9" ht="12.5" x14ac:dyDescent="0.25">
      <c r="A166" s="180" t="s">
        <v>121</v>
      </c>
      <c r="B166" s="180"/>
      <c r="C166" s="180"/>
      <c r="D166" s="180"/>
      <c r="E166" s="180"/>
      <c r="F166" s="180"/>
      <c r="G166" s="180"/>
      <c r="H166" s="180"/>
      <c r="I166" s="26"/>
    </row>
    <row r="167" spans="1:9" ht="12.5" x14ac:dyDescent="0.25">
      <c r="A167" s="180" t="s">
        <v>122</v>
      </c>
      <c r="B167" s="180"/>
      <c r="C167" s="180"/>
      <c r="D167" s="180"/>
      <c r="E167" s="180"/>
      <c r="F167" s="180"/>
      <c r="G167" s="180"/>
      <c r="H167" s="180"/>
      <c r="I167" s="26"/>
    </row>
    <row r="168" spans="1:9" ht="12.5" x14ac:dyDescent="0.25">
      <c r="A168" s="180" t="s">
        <v>123</v>
      </c>
      <c r="B168" s="180"/>
      <c r="C168" s="180"/>
      <c r="D168" s="180"/>
      <c r="E168" s="180"/>
      <c r="F168" s="180"/>
      <c r="G168" s="180"/>
      <c r="H168" s="180"/>
      <c r="I168" s="26"/>
    </row>
    <row r="169" spans="1:9" ht="12.5" x14ac:dyDescent="0.25">
      <c r="A169" s="180" t="s">
        <v>124</v>
      </c>
      <c r="B169" s="180"/>
      <c r="C169" s="180"/>
      <c r="D169" s="180"/>
      <c r="E169" s="180"/>
      <c r="F169" s="180"/>
      <c r="G169" s="180"/>
      <c r="H169" s="180"/>
      <c r="I169" s="26"/>
    </row>
    <row r="170" spans="1:9" ht="12.5" x14ac:dyDescent="0.25">
      <c r="A170" s="180"/>
      <c r="B170" s="180"/>
      <c r="C170" s="180"/>
      <c r="D170" s="180"/>
      <c r="E170" s="180"/>
      <c r="F170" s="180"/>
      <c r="G170" s="180"/>
      <c r="H170" s="180"/>
      <c r="I170" s="26"/>
    </row>
    <row r="171" spans="1:9" ht="12.5" x14ac:dyDescent="0.25">
      <c r="A171" s="180" t="s">
        <v>125</v>
      </c>
      <c r="B171" s="180"/>
      <c r="C171" s="180"/>
      <c r="D171" s="180"/>
      <c r="E171" s="180"/>
      <c r="F171" s="180"/>
      <c r="G171" s="180"/>
      <c r="H171" s="180"/>
      <c r="I171" s="26"/>
    </row>
    <row r="172" spans="1:9" ht="12.5" x14ac:dyDescent="0.25">
      <c r="A172" s="180" t="s">
        <v>126</v>
      </c>
      <c r="B172" s="180"/>
      <c r="C172" s="180"/>
      <c r="D172" s="180"/>
      <c r="E172" s="180"/>
      <c r="F172" s="180"/>
      <c r="G172" s="180"/>
      <c r="H172" s="180"/>
      <c r="I172" s="26"/>
    </row>
    <row r="173" spans="1:9" ht="12.5" x14ac:dyDescent="0.25">
      <c r="A173" s="180"/>
      <c r="B173" s="180"/>
      <c r="C173" s="180"/>
      <c r="D173" s="180"/>
      <c r="E173" s="180"/>
      <c r="F173" s="180"/>
      <c r="G173" s="180"/>
      <c r="H173" s="180"/>
      <c r="I173" s="26"/>
    </row>
    <row r="174" spans="1:9" ht="12.5" x14ac:dyDescent="0.25">
      <c r="A174" s="180" t="s">
        <v>127</v>
      </c>
      <c r="B174" s="180"/>
      <c r="C174" s="180"/>
      <c r="D174" s="180"/>
      <c r="E174" s="180"/>
      <c r="F174" s="180"/>
      <c r="G174" s="180"/>
      <c r="H174" s="180"/>
      <c r="I174" s="26"/>
    </row>
    <row r="175" spans="1:9" ht="12.5" x14ac:dyDescent="0.25">
      <c r="A175" s="180" t="s">
        <v>123</v>
      </c>
      <c r="B175" s="180"/>
      <c r="C175" s="180"/>
      <c r="D175" s="180"/>
      <c r="E175" s="180"/>
      <c r="F175" s="180"/>
      <c r="G175" s="180"/>
      <c r="H175" s="180"/>
      <c r="I175" s="26"/>
    </row>
    <row r="176" spans="1:9" ht="12.5" x14ac:dyDescent="0.25">
      <c r="A176" s="180" t="s">
        <v>128</v>
      </c>
      <c r="B176" s="180"/>
      <c r="C176" s="180"/>
      <c r="D176" s="180"/>
      <c r="E176" s="180"/>
      <c r="F176" s="180"/>
      <c r="G176" s="180"/>
      <c r="H176" s="180"/>
      <c r="I176" s="26"/>
    </row>
    <row r="177" spans="1:9" ht="12.5" x14ac:dyDescent="0.25">
      <c r="A177" s="180"/>
      <c r="B177" s="180"/>
      <c r="C177" s="180"/>
      <c r="D177" s="180"/>
      <c r="E177" s="180"/>
      <c r="F177" s="180"/>
      <c r="G177" s="180"/>
      <c r="H177" s="180"/>
      <c r="I177" s="26"/>
    </row>
    <row r="178" spans="1:9" ht="12.5" x14ac:dyDescent="0.25">
      <c r="A178" s="180" t="s">
        <v>405</v>
      </c>
      <c r="B178" s="180"/>
      <c r="C178" s="180"/>
      <c r="D178" s="180"/>
      <c r="E178" s="180"/>
      <c r="F178" s="180"/>
      <c r="G178" s="180"/>
      <c r="H178" s="180"/>
      <c r="I178" s="26"/>
    </row>
    <row r="179" spans="1:9" ht="12.5" x14ac:dyDescent="0.25">
      <c r="A179" s="180" t="s">
        <v>406</v>
      </c>
      <c r="B179" s="180"/>
      <c r="C179" s="180"/>
      <c r="D179" s="180"/>
      <c r="E179" s="180"/>
      <c r="F179" s="180"/>
      <c r="G179" s="180"/>
      <c r="H179" s="180"/>
      <c r="I179" s="26"/>
    </row>
    <row r="180" spans="1:9" ht="12.5" x14ac:dyDescent="0.25">
      <c r="A180" s="180"/>
      <c r="B180" s="180"/>
      <c r="C180" s="180"/>
      <c r="D180" s="180"/>
      <c r="E180" s="180"/>
      <c r="F180" s="180"/>
      <c r="G180" s="180"/>
      <c r="H180" s="180"/>
      <c r="I180" s="26"/>
    </row>
    <row r="181" spans="1:9" ht="12.5" x14ac:dyDescent="0.25">
      <c r="A181" s="180" t="s">
        <v>407</v>
      </c>
      <c r="B181" s="180"/>
      <c r="C181" s="180" t="s">
        <v>420</v>
      </c>
      <c r="D181" s="180"/>
      <c r="E181" s="180"/>
      <c r="F181" s="180"/>
      <c r="G181" s="180"/>
      <c r="H181" s="180"/>
      <c r="I181" s="26"/>
    </row>
    <row r="182" spans="1:9" ht="12.5" x14ac:dyDescent="0.25">
      <c r="A182" s="180"/>
      <c r="B182" s="180"/>
      <c r="C182" s="180"/>
      <c r="D182" s="180"/>
      <c r="E182" s="180"/>
      <c r="F182" s="180"/>
      <c r="G182" s="180"/>
      <c r="H182" s="180"/>
      <c r="I182" s="26"/>
    </row>
    <row r="183" spans="1:9" ht="12.5" x14ac:dyDescent="0.25">
      <c r="A183" s="180"/>
      <c r="B183" s="180"/>
      <c r="C183" s="180"/>
      <c r="D183" s="180"/>
      <c r="E183" s="180"/>
      <c r="F183" s="180"/>
      <c r="G183" s="180"/>
      <c r="H183" s="180"/>
      <c r="I183" s="26"/>
    </row>
    <row r="184" spans="1:9" ht="12.5" x14ac:dyDescent="0.25">
      <c r="A184" s="180" t="s">
        <v>134</v>
      </c>
      <c r="B184" s="180"/>
      <c r="C184" s="180"/>
      <c r="D184" s="180"/>
      <c r="E184" s="180"/>
      <c r="F184" s="180"/>
      <c r="G184" s="180"/>
      <c r="H184" s="180"/>
      <c r="I184" s="26"/>
    </row>
    <row r="185" spans="1:9" ht="12.5" x14ac:dyDescent="0.25">
      <c r="A185" s="180" t="s">
        <v>135</v>
      </c>
      <c r="B185" s="180"/>
      <c r="C185" s="180"/>
      <c r="D185" s="180"/>
      <c r="E185" s="180"/>
      <c r="F185" s="180"/>
      <c r="G185" s="180"/>
      <c r="H185" s="180"/>
      <c r="I185" s="26"/>
    </row>
    <row r="186" spans="1:9" ht="12.5" x14ac:dyDescent="0.25">
      <c r="A186" s="180"/>
      <c r="B186" s="180"/>
      <c r="C186" s="180"/>
      <c r="D186" s="180"/>
      <c r="E186" s="180"/>
      <c r="F186" s="180"/>
      <c r="G186" s="180"/>
      <c r="H186" s="180"/>
      <c r="I186" s="26"/>
    </row>
    <row r="187" spans="1:9" ht="12.5" x14ac:dyDescent="0.25">
      <c r="A187" s="180" t="s">
        <v>136</v>
      </c>
      <c r="B187" s="180"/>
      <c r="C187" s="180"/>
      <c r="D187" s="180"/>
      <c r="E187" s="180"/>
      <c r="F187" s="180"/>
      <c r="G187" s="180"/>
      <c r="H187" s="180"/>
      <c r="I187" s="26"/>
    </row>
    <row r="188" spans="1:9" ht="12.5" x14ac:dyDescent="0.25">
      <c r="A188" s="180"/>
      <c r="B188" s="180"/>
      <c r="C188" s="180"/>
      <c r="D188" s="180"/>
      <c r="E188" s="180"/>
      <c r="F188" s="180"/>
      <c r="G188" s="180"/>
      <c r="H188" s="180"/>
      <c r="I188" s="26"/>
    </row>
    <row r="189" spans="1:9" ht="12.5" x14ac:dyDescent="0.25">
      <c r="A189" s="180" t="s">
        <v>137</v>
      </c>
      <c r="B189" s="180"/>
      <c r="C189" s="180"/>
      <c r="D189" s="180"/>
      <c r="E189" s="180"/>
      <c r="F189" s="180"/>
      <c r="G189" s="180"/>
      <c r="H189" s="180"/>
      <c r="I189" s="26"/>
    </row>
    <row r="190" spans="1:9" ht="12.5" x14ac:dyDescent="0.25">
      <c r="A190" s="180" t="s">
        <v>138</v>
      </c>
      <c r="B190" s="180"/>
      <c r="C190" s="180"/>
      <c r="D190" s="180"/>
      <c r="E190" s="180"/>
      <c r="F190" s="180"/>
      <c r="G190" s="180"/>
      <c r="H190" s="180"/>
      <c r="I190" s="26"/>
    </row>
    <row r="191" spans="1:9" ht="12.5" x14ac:dyDescent="0.25">
      <c r="A191" s="180"/>
      <c r="B191" s="180"/>
      <c r="C191" s="180"/>
      <c r="D191" s="180"/>
      <c r="E191" s="180"/>
      <c r="F191" s="180"/>
      <c r="G191" s="180"/>
      <c r="H191" s="180"/>
      <c r="I191" s="26"/>
    </row>
    <row r="192" spans="1:9" ht="12.5" x14ac:dyDescent="0.25">
      <c r="A192" s="180" t="s">
        <v>139</v>
      </c>
      <c r="B192" s="180"/>
      <c r="C192" s="180"/>
      <c r="D192" s="180"/>
      <c r="E192" s="180"/>
      <c r="F192" s="180"/>
      <c r="G192" s="180"/>
      <c r="H192" s="180"/>
      <c r="I192" s="26"/>
    </row>
    <row r="193" spans="1:9" ht="12.5" x14ac:dyDescent="0.25">
      <c r="A193" s="180"/>
      <c r="B193" s="180"/>
      <c r="C193" s="180"/>
      <c r="D193" s="180"/>
      <c r="E193" s="180"/>
      <c r="F193" s="180"/>
      <c r="G193" s="180"/>
      <c r="H193" s="180"/>
      <c r="I193" s="26"/>
    </row>
    <row r="194" spans="1:9" ht="12.5" x14ac:dyDescent="0.25">
      <c r="A194" s="180"/>
      <c r="B194" s="180"/>
      <c r="C194" s="180"/>
      <c r="D194" s="180"/>
      <c r="E194" s="180"/>
      <c r="F194" s="180"/>
      <c r="G194" s="180"/>
      <c r="H194" s="180"/>
      <c r="I194" s="26"/>
    </row>
    <row r="195" spans="1:9" ht="12.5" x14ac:dyDescent="0.25">
      <c r="A195" s="180" t="s">
        <v>140</v>
      </c>
      <c r="B195" s="180"/>
      <c r="C195" s="180"/>
      <c r="D195" s="180"/>
      <c r="E195" s="180"/>
      <c r="F195" s="180"/>
      <c r="G195" s="180"/>
      <c r="H195" s="180"/>
      <c r="I195" s="26"/>
    </row>
    <row r="196" spans="1:9" ht="12.5" x14ac:dyDescent="0.25">
      <c r="A196" s="180" t="s">
        <v>141</v>
      </c>
      <c r="B196" s="180"/>
      <c r="C196" s="180"/>
      <c r="D196" s="180"/>
      <c r="E196" s="180"/>
      <c r="F196" s="180"/>
      <c r="G196" s="180"/>
      <c r="H196" s="180"/>
      <c r="I196" s="26"/>
    </row>
    <row r="197" spans="1:9" ht="12.5" x14ac:dyDescent="0.25">
      <c r="A197" s="180"/>
      <c r="B197" s="180"/>
      <c r="C197" s="180"/>
      <c r="D197" s="180"/>
      <c r="E197" s="180"/>
      <c r="F197" s="180"/>
      <c r="G197" s="180"/>
      <c r="H197" s="180"/>
      <c r="I197" s="26"/>
    </row>
    <row r="198" spans="1:9" ht="12.5" x14ac:dyDescent="0.25">
      <c r="A198" s="180" t="s">
        <v>408</v>
      </c>
      <c r="B198" s="180"/>
      <c r="C198" s="180"/>
      <c r="D198" s="180"/>
      <c r="E198" s="180"/>
      <c r="F198" s="180"/>
      <c r="G198" s="180"/>
      <c r="H198" s="180"/>
      <c r="I198" s="26"/>
    </row>
    <row r="199" spans="1:9" ht="12.5" x14ac:dyDescent="0.25">
      <c r="A199" s="180"/>
      <c r="B199" s="180"/>
      <c r="C199" s="180"/>
      <c r="D199" s="180"/>
      <c r="E199" s="180"/>
      <c r="F199" s="180"/>
      <c r="G199" s="180"/>
      <c r="H199" s="180"/>
      <c r="I199" s="26"/>
    </row>
    <row r="200" spans="1:9" ht="12.5" x14ac:dyDescent="0.25">
      <c r="A200" s="180"/>
      <c r="B200" s="180"/>
      <c r="C200" s="180"/>
      <c r="D200" s="180"/>
      <c r="E200" s="180"/>
      <c r="F200" s="180"/>
      <c r="G200" s="180"/>
      <c r="H200" s="180"/>
      <c r="I200" s="26"/>
    </row>
    <row r="201" spans="1:9" ht="12.5" x14ac:dyDescent="0.25">
      <c r="A201" s="180" t="s">
        <v>421</v>
      </c>
      <c r="B201" s="180"/>
      <c r="C201" s="180"/>
      <c r="D201" s="180"/>
      <c r="E201" s="180"/>
      <c r="F201" s="180"/>
      <c r="G201" s="180"/>
      <c r="H201" s="180"/>
      <c r="I201" s="26"/>
    </row>
    <row r="202" spans="1:9" x14ac:dyDescent="0.25">
      <c r="A202" s="4" t="s">
        <v>422</v>
      </c>
      <c r="E202" s="26"/>
      <c r="F202" s="26"/>
      <c r="G202" s="26"/>
      <c r="H202" s="26"/>
      <c r="I202" s="26"/>
    </row>
    <row r="203" spans="1:9" x14ac:dyDescent="0.25">
      <c r="E203" s="26"/>
      <c r="F203" s="26"/>
      <c r="G203" s="26"/>
      <c r="H203" s="26"/>
      <c r="I203" s="26"/>
    </row>
    <row r="204" spans="1:9" x14ac:dyDescent="0.25">
      <c r="E204" s="26"/>
      <c r="F204" s="26"/>
      <c r="G204" s="26"/>
      <c r="H204" s="26"/>
      <c r="I204" s="26"/>
    </row>
    <row r="205" spans="1:9" x14ac:dyDescent="0.25">
      <c r="A205" s="290" t="s">
        <v>409</v>
      </c>
      <c r="B205" s="290"/>
      <c r="C205" s="290"/>
      <c r="D205" s="290"/>
      <c r="E205" s="291"/>
      <c r="F205" s="291"/>
      <c r="G205" s="291"/>
      <c r="H205" s="26"/>
      <c r="I205" s="26"/>
    </row>
    <row r="206" spans="1:9" x14ac:dyDescent="0.25">
      <c r="A206" s="290"/>
      <c r="B206" s="290"/>
      <c r="C206" s="290"/>
      <c r="D206" s="290"/>
      <c r="E206" s="291"/>
      <c r="F206" s="291"/>
      <c r="G206" s="291"/>
      <c r="H206" s="26"/>
      <c r="I206" s="26"/>
    </row>
    <row r="207" spans="1:9" x14ac:dyDescent="0.25">
      <c r="A207" s="290" t="s">
        <v>410</v>
      </c>
      <c r="B207" s="290"/>
      <c r="C207" s="290"/>
      <c r="D207" s="290"/>
      <c r="E207" s="291"/>
      <c r="F207" s="291"/>
      <c r="G207" s="291"/>
      <c r="H207" s="26"/>
      <c r="I207" s="26"/>
    </row>
    <row r="208" spans="1:9" x14ac:dyDescent="0.25">
      <c r="A208" s="290" t="s">
        <v>411</v>
      </c>
      <c r="B208" s="290"/>
      <c r="C208" s="290"/>
      <c r="D208" s="290"/>
      <c r="E208" s="291"/>
      <c r="F208" s="291"/>
      <c r="G208" s="291"/>
      <c r="H208" s="26"/>
      <c r="I208" s="26"/>
    </row>
    <row r="209" spans="1:9" x14ac:dyDescent="0.25">
      <c r="A209" s="290" t="s">
        <v>412</v>
      </c>
      <c r="B209" s="290"/>
      <c r="C209" s="290"/>
      <c r="D209" s="290"/>
      <c r="E209" s="291"/>
      <c r="F209" s="291"/>
      <c r="G209" s="291"/>
      <c r="H209" s="26"/>
      <c r="I209" s="26"/>
    </row>
    <row r="210" spans="1:9" x14ac:dyDescent="0.25">
      <c r="A210" s="290" t="s">
        <v>413</v>
      </c>
      <c r="B210" s="290"/>
      <c r="C210" s="290"/>
      <c r="D210" s="290"/>
      <c r="E210" s="291"/>
      <c r="F210" s="291"/>
      <c r="G210" s="291"/>
      <c r="H210" s="26"/>
      <c r="I210" s="26"/>
    </row>
    <row r="211" spans="1:9" x14ac:dyDescent="0.25">
      <c r="A211" s="290" t="s">
        <v>414</v>
      </c>
      <c r="B211" s="290"/>
      <c r="C211" s="290"/>
      <c r="D211" s="290"/>
      <c r="E211" s="291"/>
      <c r="F211" s="291"/>
      <c r="G211" s="291"/>
      <c r="H211" s="26"/>
      <c r="I211" s="26"/>
    </row>
    <row r="212" spans="1:9" x14ac:dyDescent="0.25">
      <c r="A212" s="290"/>
      <c r="B212" s="290"/>
      <c r="C212" s="290"/>
      <c r="D212" s="290"/>
      <c r="E212" s="291"/>
      <c r="F212" s="291"/>
      <c r="G212" s="291"/>
      <c r="H212" s="26"/>
      <c r="I212" s="26"/>
    </row>
    <row r="213" spans="1:9" x14ac:dyDescent="0.25">
      <c r="E213" s="26"/>
      <c r="F213" s="26"/>
      <c r="G213" s="26"/>
      <c r="H213" s="26"/>
      <c r="I213" s="26"/>
    </row>
    <row r="214" spans="1:9" x14ac:dyDescent="0.25">
      <c r="E214" s="26"/>
      <c r="F214" s="26"/>
      <c r="G214" s="26"/>
      <c r="H214" s="26"/>
      <c r="I214" s="26"/>
    </row>
    <row r="215" spans="1:9" x14ac:dyDescent="0.25">
      <c r="E215" s="26"/>
      <c r="F215" s="26"/>
      <c r="G215" s="26"/>
      <c r="H215" s="26"/>
      <c r="I215" s="26"/>
    </row>
    <row r="216" spans="1:9" x14ac:dyDescent="0.25">
      <c r="E216" s="26"/>
      <c r="F216" s="26"/>
      <c r="G216" s="26"/>
      <c r="H216" s="26"/>
      <c r="I216" s="26"/>
    </row>
    <row r="217" spans="1:9" x14ac:dyDescent="0.25">
      <c r="E217" s="26"/>
      <c r="F217" s="26"/>
      <c r="G217" s="26"/>
      <c r="H217" s="26"/>
      <c r="I217" s="26"/>
    </row>
    <row r="218" spans="1:9" x14ac:dyDescent="0.25">
      <c r="E218" s="26"/>
      <c r="F218" s="26"/>
      <c r="G218" s="26"/>
      <c r="H218" s="26"/>
      <c r="I218" s="26"/>
    </row>
    <row r="219" spans="1:9" x14ac:dyDescent="0.25">
      <c r="E219" s="26"/>
      <c r="F219" s="26"/>
      <c r="G219" s="26"/>
      <c r="H219" s="26"/>
      <c r="I219" s="26"/>
    </row>
    <row r="220" spans="1:9" x14ac:dyDescent="0.25">
      <c r="E220" s="26"/>
      <c r="F220" s="26"/>
      <c r="G220" s="26"/>
      <c r="H220" s="26"/>
      <c r="I220" s="26"/>
    </row>
    <row r="221" spans="1:9" x14ac:dyDescent="0.25">
      <c r="E221" s="26"/>
      <c r="F221" s="26"/>
      <c r="G221" s="26"/>
      <c r="H221" s="26"/>
      <c r="I221" s="26"/>
    </row>
    <row r="222" spans="1:9" x14ac:dyDescent="0.25">
      <c r="E222" s="26"/>
      <c r="F222" s="26"/>
      <c r="G222" s="26"/>
      <c r="H222" s="26"/>
      <c r="I222" s="26"/>
    </row>
    <row r="223" spans="1:9" x14ac:dyDescent="0.25">
      <c r="E223" s="26"/>
      <c r="F223" s="26"/>
      <c r="G223" s="26"/>
      <c r="H223" s="26"/>
      <c r="I223" s="26"/>
    </row>
    <row r="224" spans="1:9" x14ac:dyDescent="0.25">
      <c r="E224" s="26"/>
      <c r="F224" s="26"/>
      <c r="G224" s="26"/>
      <c r="H224" s="26"/>
      <c r="I224" s="26"/>
    </row>
    <row r="225" spans="5:9" x14ac:dyDescent="0.25">
      <c r="E225" s="26"/>
      <c r="F225" s="26"/>
      <c r="G225" s="26"/>
      <c r="H225" s="26"/>
      <c r="I225" s="26"/>
    </row>
    <row r="226" spans="5:9" x14ac:dyDescent="0.25">
      <c r="E226" s="26"/>
      <c r="F226" s="26"/>
      <c r="G226" s="26"/>
      <c r="H226" s="26"/>
      <c r="I226" s="26"/>
    </row>
    <row r="227" spans="5:9" x14ac:dyDescent="0.25">
      <c r="E227" s="26"/>
      <c r="F227" s="26"/>
      <c r="G227" s="26"/>
      <c r="H227" s="26"/>
      <c r="I227" s="26"/>
    </row>
    <row r="228" spans="5:9" x14ac:dyDescent="0.25">
      <c r="E228" s="26"/>
      <c r="F228" s="26"/>
      <c r="G228" s="26"/>
      <c r="H228" s="26"/>
      <c r="I228" s="26"/>
    </row>
    <row r="229" spans="5:9" x14ac:dyDescent="0.25">
      <c r="E229" s="26"/>
      <c r="F229" s="26"/>
      <c r="G229" s="26"/>
      <c r="H229" s="26"/>
      <c r="I229" s="26"/>
    </row>
    <row r="230" spans="5:9" x14ac:dyDescent="0.25">
      <c r="E230" s="26"/>
      <c r="F230" s="26"/>
      <c r="G230" s="26"/>
      <c r="H230" s="26"/>
      <c r="I230" s="26"/>
    </row>
    <row r="231" spans="5:9" x14ac:dyDescent="0.25">
      <c r="E231" s="26"/>
      <c r="F231" s="26"/>
      <c r="G231" s="26"/>
      <c r="H231" s="26"/>
      <c r="I231" s="26"/>
    </row>
    <row r="232" spans="5:9" x14ac:dyDescent="0.25">
      <c r="E232" s="26"/>
      <c r="F232" s="26"/>
      <c r="G232" s="26"/>
      <c r="H232" s="26"/>
      <c r="I232" s="26"/>
    </row>
    <row r="233" spans="5:9" x14ac:dyDescent="0.25">
      <c r="E233" s="26"/>
      <c r="F233" s="26"/>
      <c r="G233" s="26"/>
      <c r="H233" s="26"/>
      <c r="I233" s="26"/>
    </row>
    <row r="234" spans="5:9" x14ac:dyDescent="0.25">
      <c r="E234" s="26"/>
      <c r="F234" s="26"/>
      <c r="G234" s="26"/>
      <c r="H234" s="26"/>
      <c r="I234" s="26"/>
    </row>
    <row r="235" spans="5:9" x14ac:dyDescent="0.25">
      <c r="E235" s="26"/>
      <c r="F235" s="26"/>
      <c r="G235" s="26"/>
      <c r="H235" s="26"/>
      <c r="I235" s="26"/>
    </row>
    <row r="236" spans="5:9" x14ac:dyDescent="0.25">
      <c r="E236" s="26"/>
      <c r="F236" s="26"/>
      <c r="G236" s="26"/>
      <c r="H236" s="26"/>
      <c r="I236" s="26"/>
    </row>
    <row r="237" spans="5:9" x14ac:dyDescent="0.25">
      <c r="E237" s="26"/>
      <c r="F237" s="26"/>
      <c r="G237" s="26"/>
      <c r="H237" s="26"/>
      <c r="I237" s="26"/>
    </row>
    <row r="238" spans="5:9" x14ac:dyDescent="0.25">
      <c r="E238" s="26"/>
      <c r="F238" s="26"/>
      <c r="G238" s="26"/>
      <c r="H238" s="26"/>
      <c r="I238" s="26"/>
    </row>
    <row r="239" spans="5:9" x14ac:dyDescent="0.25">
      <c r="E239" s="26"/>
      <c r="F239" s="26"/>
      <c r="G239" s="26"/>
      <c r="H239" s="26"/>
      <c r="I239" s="26"/>
    </row>
    <row r="240" spans="5:9" x14ac:dyDescent="0.25">
      <c r="E240" s="26"/>
      <c r="F240" s="26"/>
      <c r="G240" s="26"/>
      <c r="H240" s="26"/>
      <c r="I240" s="26"/>
    </row>
    <row r="241" spans="5:9" x14ac:dyDescent="0.25">
      <c r="E241" s="26"/>
      <c r="F241" s="26"/>
      <c r="G241" s="26"/>
      <c r="H241" s="26"/>
      <c r="I241" s="26"/>
    </row>
    <row r="242" spans="5:9" x14ac:dyDescent="0.25">
      <c r="E242" s="26"/>
      <c r="F242" s="26"/>
      <c r="G242" s="26"/>
      <c r="H242" s="26"/>
      <c r="I242" s="26"/>
    </row>
    <row r="243" spans="5:9" x14ac:dyDescent="0.25">
      <c r="E243" s="26"/>
      <c r="F243" s="26"/>
      <c r="G243" s="26"/>
      <c r="H243" s="26"/>
      <c r="I243" s="26"/>
    </row>
    <row r="244" spans="5:9" x14ac:dyDescent="0.25">
      <c r="E244" s="26"/>
      <c r="F244" s="26"/>
      <c r="G244" s="26"/>
      <c r="H244" s="26"/>
      <c r="I244" s="26"/>
    </row>
    <row r="245" spans="5:9" x14ac:dyDescent="0.25">
      <c r="E245" s="26"/>
      <c r="F245" s="26"/>
      <c r="G245" s="26"/>
      <c r="H245" s="26"/>
      <c r="I245" s="26"/>
    </row>
    <row r="246" spans="5:9" x14ac:dyDescent="0.25">
      <c r="E246" s="26"/>
      <c r="F246" s="26"/>
      <c r="G246" s="26"/>
      <c r="H246" s="26"/>
      <c r="I246" s="26"/>
    </row>
    <row r="247" spans="5:9" x14ac:dyDescent="0.25">
      <c r="E247" s="26"/>
      <c r="F247" s="26"/>
      <c r="G247" s="26"/>
      <c r="H247" s="26"/>
      <c r="I247" s="26"/>
    </row>
    <row r="248" spans="5:9" x14ac:dyDescent="0.25">
      <c r="E248" s="26"/>
      <c r="F248" s="26"/>
      <c r="G248" s="26"/>
      <c r="H248" s="26"/>
      <c r="I248" s="26"/>
    </row>
    <row r="249" spans="5:9" x14ac:dyDescent="0.25">
      <c r="E249" s="26"/>
      <c r="F249" s="26"/>
      <c r="G249" s="26"/>
      <c r="H249" s="26"/>
      <c r="I249" s="26"/>
    </row>
    <row r="250" spans="5:9" x14ac:dyDescent="0.25">
      <c r="E250" s="26"/>
      <c r="F250" s="26"/>
      <c r="G250" s="26"/>
      <c r="H250" s="26"/>
      <c r="I250" s="26"/>
    </row>
    <row r="251" spans="5:9" x14ac:dyDescent="0.25">
      <c r="E251" s="26"/>
      <c r="F251" s="26"/>
      <c r="G251" s="26"/>
      <c r="H251" s="26"/>
      <c r="I251" s="26"/>
    </row>
    <row r="252" spans="5:9" x14ac:dyDescent="0.25">
      <c r="E252" s="26"/>
      <c r="F252" s="26"/>
      <c r="G252" s="26"/>
      <c r="H252" s="26"/>
      <c r="I252" s="26"/>
    </row>
    <row r="253" spans="5:9" x14ac:dyDescent="0.25">
      <c r="E253" s="26"/>
      <c r="F253" s="26"/>
      <c r="G253" s="26"/>
      <c r="H253" s="26"/>
      <c r="I253" s="26"/>
    </row>
    <row r="254" spans="5:9" x14ac:dyDescent="0.25">
      <c r="E254" s="26"/>
      <c r="F254" s="26"/>
      <c r="G254" s="26"/>
      <c r="H254" s="26"/>
      <c r="I254" s="26"/>
    </row>
    <row r="255" spans="5:9" x14ac:dyDescent="0.25">
      <c r="E255" s="26"/>
      <c r="F255" s="26"/>
      <c r="G255" s="26"/>
      <c r="H255" s="26"/>
      <c r="I255" s="26"/>
    </row>
    <row r="256" spans="5:9" x14ac:dyDescent="0.25">
      <c r="E256" s="26"/>
      <c r="F256" s="26"/>
      <c r="G256" s="26"/>
      <c r="H256" s="26"/>
      <c r="I256" s="26"/>
    </row>
    <row r="257" spans="5:9" x14ac:dyDescent="0.25">
      <c r="E257" s="26"/>
      <c r="F257" s="26"/>
      <c r="G257" s="26"/>
      <c r="H257" s="26"/>
      <c r="I257" s="26"/>
    </row>
    <row r="258" spans="5:9" x14ac:dyDescent="0.25">
      <c r="E258" s="26"/>
      <c r="F258" s="26"/>
      <c r="G258" s="26"/>
      <c r="H258" s="26"/>
      <c r="I258" s="26"/>
    </row>
    <row r="259" spans="5:9" x14ac:dyDescent="0.25">
      <c r="E259" s="26"/>
      <c r="F259" s="26"/>
      <c r="G259" s="26"/>
      <c r="H259" s="26"/>
      <c r="I259" s="26"/>
    </row>
    <row r="260" spans="5:9" x14ac:dyDescent="0.25">
      <c r="E260" s="26"/>
      <c r="F260" s="26"/>
      <c r="G260" s="26"/>
      <c r="H260" s="26"/>
      <c r="I260" s="26"/>
    </row>
    <row r="261" spans="5:9" x14ac:dyDescent="0.25">
      <c r="E261" s="26"/>
      <c r="F261" s="26"/>
      <c r="G261" s="26"/>
      <c r="H261" s="26"/>
      <c r="I261" s="26"/>
    </row>
    <row r="262" spans="5:9" x14ac:dyDescent="0.25">
      <c r="E262" s="26"/>
      <c r="F262" s="26"/>
      <c r="G262" s="26"/>
      <c r="H262" s="26"/>
      <c r="I262" s="26"/>
    </row>
    <row r="263" spans="5:9" x14ac:dyDescent="0.25">
      <c r="E263" s="26"/>
      <c r="F263" s="26"/>
      <c r="G263" s="26"/>
      <c r="H263" s="26"/>
      <c r="I263" s="26"/>
    </row>
    <row r="264" spans="5:9" x14ac:dyDescent="0.25">
      <c r="E264" s="26"/>
      <c r="F264" s="26"/>
      <c r="G264" s="26"/>
      <c r="H264" s="26"/>
      <c r="I264" s="26"/>
    </row>
    <row r="265" spans="5:9" x14ac:dyDescent="0.25">
      <c r="E265" s="26"/>
      <c r="F265" s="26"/>
      <c r="G265" s="26"/>
      <c r="H265" s="26"/>
      <c r="I265" s="26"/>
    </row>
    <row r="266" spans="5:9" x14ac:dyDescent="0.25">
      <c r="E266" s="26"/>
      <c r="F266" s="26"/>
      <c r="G266" s="26"/>
      <c r="H266" s="26"/>
      <c r="I266" s="26"/>
    </row>
    <row r="267" spans="5:9" x14ac:dyDescent="0.25">
      <c r="E267" s="26"/>
      <c r="F267" s="26"/>
      <c r="G267" s="26"/>
      <c r="H267" s="26"/>
      <c r="I267" s="26"/>
    </row>
    <row r="268" spans="5:9" x14ac:dyDescent="0.25">
      <c r="E268" s="26"/>
      <c r="F268" s="26"/>
      <c r="G268" s="26"/>
      <c r="H268" s="26"/>
      <c r="I268" s="26"/>
    </row>
    <row r="269" spans="5:9" x14ac:dyDescent="0.25">
      <c r="E269" s="26"/>
      <c r="F269" s="26"/>
      <c r="G269" s="26"/>
      <c r="H269" s="26"/>
      <c r="I269" s="26"/>
    </row>
    <row r="270" spans="5:9" x14ac:dyDescent="0.25">
      <c r="E270" s="26"/>
      <c r="F270" s="26"/>
      <c r="G270" s="26"/>
      <c r="H270" s="26"/>
      <c r="I270" s="26"/>
    </row>
    <row r="271" spans="5:9" x14ac:dyDescent="0.25">
      <c r="E271" s="26"/>
      <c r="F271" s="26"/>
      <c r="G271" s="26"/>
      <c r="H271" s="26"/>
      <c r="I271" s="26"/>
    </row>
    <row r="272" spans="5:9" x14ac:dyDescent="0.25">
      <c r="E272" s="26"/>
      <c r="F272" s="26"/>
      <c r="G272" s="26"/>
      <c r="H272" s="26"/>
      <c r="I272" s="26"/>
    </row>
    <row r="273" spans="5:9" x14ac:dyDescent="0.25">
      <c r="E273" s="26"/>
      <c r="F273" s="26"/>
      <c r="G273" s="26"/>
      <c r="H273" s="26"/>
      <c r="I273" s="26"/>
    </row>
    <row r="274" spans="5:9" x14ac:dyDescent="0.25">
      <c r="E274" s="26"/>
      <c r="F274" s="26"/>
      <c r="G274" s="26"/>
      <c r="H274" s="26"/>
      <c r="I274" s="26"/>
    </row>
    <row r="275" spans="5:9" x14ac:dyDescent="0.25">
      <c r="E275" s="26"/>
      <c r="F275" s="26"/>
      <c r="G275" s="26"/>
      <c r="H275" s="26"/>
      <c r="I275" s="26"/>
    </row>
    <row r="276" spans="5:9" x14ac:dyDescent="0.25">
      <c r="E276" s="26"/>
      <c r="F276" s="26"/>
      <c r="G276" s="26"/>
      <c r="H276" s="26"/>
      <c r="I276" s="26"/>
    </row>
    <row r="277" spans="5:9" x14ac:dyDescent="0.25">
      <c r="E277" s="26"/>
      <c r="F277" s="26"/>
      <c r="G277" s="26"/>
      <c r="H277" s="26"/>
      <c r="I277" s="26"/>
    </row>
    <row r="278" spans="5:9" x14ac:dyDescent="0.25">
      <c r="E278" s="26"/>
      <c r="F278" s="26"/>
      <c r="G278" s="26"/>
      <c r="H278" s="26"/>
      <c r="I278" s="26"/>
    </row>
    <row r="279" spans="5:9" x14ac:dyDescent="0.25">
      <c r="E279" s="26"/>
      <c r="F279" s="26"/>
      <c r="G279" s="26"/>
      <c r="H279" s="26"/>
      <c r="I279" s="26"/>
    </row>
    <row r="280" spans="5:9" x14ac:dyDescent="0.25">
      <c r="E280" s="26"/>
      <c r="F280" s="26"/>
      <c r="G280" s="26"/>
      <c r="H280" s="26"/>
      <c r="I280" s="26"/>
    </row>
    <row r="281" spans="5:9" x14ac:dyDescent="0.25">
      <c r="E281" s="26"/>
      <c r="F281" s="26"/>
      <c r="G281" s="26"/>
      <c r="H281" s="26"/>
      <c r="I281" s="26"/>
    </row>
    <row r="282" spans="5:9" x14ac:dyDescent="0.25">
      <c r="E282" s="26"/>
      <c r="F282" s="26"/>
      <c r="G282" s="26"/>
      <c r="H282" s="26"/>
      <c r="I282" s="26"/>
    </row>
    <row r="283" spans="5:9" x14ac:dyDescent="0.25">
      <c r="E283" s="26"/>
      <c r="F283" s="26"/>
      <c r="G283" s="26"/>
      <c r="H283" s="26"/>
      <c r="I283" s="26"/>
    </row>
    <row r="284" spans="5:9" x14ac:dyDescent="0.25">
      <c r="E284" s="26"/>
      <c r="F284" s="26"/>
      <c r="G284" s="26"/>
      <c r="H284" s="26"/>
      <c r="I284" s="26"/>
    </row>
    <row r="285" spans="5:9" x14ac:dyDescent="0.25">
      <c r="E285" s="26"/>
      <c r="F285" s="26"/>
      <c r="G285" s="26"/>
      <c r="H285" s="26"/>
      <c r="I285" s="26"/>
    </row>
    <row r="286" spans="5:9" x14ac:dyDescent="0.25">
      <c r="E286" s="26"/>
      <c r="F286" s="26"/>
      <c r="G286" s="26"/>
      <c r="H286" s="26"/>
      <c r="I286" s="26"/>
    </row>
    <row r="287" spans="5:9" x14ac:dyDescent="0.25">
      <c r="E287" s="26"/>
      <c r="F287" s="26"/>
      <c r="G287" s="26"/>
      <c r="H287" s="26"/>
      <c r="I287" s="26"/>
    </row>
    <row r="288" spans="5:9" x14ac:dyDescent="0.25">
      <c r="E288" s="26"/>
      <c r="F288" s="26"/>
      <c r="G288" s="26"/>
      <c r="H288" s="26"/>
      <c r="I288" s="26"/>
    </row>
    <row r="289" spans="5:9" x14ac:dyDescent="0.25">
      <c r="E289" s="26"/>
      <c r="F289" s="26"/>
      <c r="G289" s="26"/>
      <c r="H289" s="26"/>
      <c r="I289" s="26"/>
    </row>
    <row r="290" spans="5:9" x14ac:dyDescent="0.25">
      <c r="E290" s="26"/>
      <c r="F290" s="26"/>
      <c r="G290" s="26"/>
      <c r="H290" s="26"/>
      <c r="I290" s="26"/>
    </row>
    <row r="291" spans="5:9" x14ac:dyDescent="0.25">
      <c r="E291" s="26"/>
      <c r="F291" s="26"/>
      <c r="G291" s="26"/>
      <c r="H291" s="26"/>
      <c r="I291" s="26"/>
    </row>
    <row r="292" spans="5:9" x14ac:dyDescent="0.25">
      <c r="E292" s="26"/>
      <c r="F292" s="26"/>
      <c r="G292" s="26"/>
      <c r="H292" s="26"/>
      <c r="I292" s="26"/>
    </row>
    <row r="293" spans="5:9" x14ac:dyDescent="0.25">
      <c r="E293" s="26"/>
      <c r="F293" s="26"/>
      <c r="G293" s="26"/>
      <c r="H293" s="26"/>
      <c r="I293" s="26"/>
    </row>
    <row r="294" spans="5:9" x14ac:dyDescent="0.25">
      <c r="E294" s="26"/>
      <c r="F294" s="26"/>
      <c r="G294" s="26"/>
      <c r="H294" s="26"/>
      <c r="I294" s="26"/>
    </row>
    <row r="295" spans="5:9" x14ac:dyDescent="0.25">
      <c r="E295" s="26"/>
      <c r="F295" s="26"/>
      <c r="G295" s="26"/>
      <c r="H295" s="26"/>
      <c r="I295" s="26"/>
    </row>
    <row r="296" spans="5:9" x14ac:dyDescent="0.25">
      <c r="E296" s="26"/>
      <c r="F296" s="26"/>
      <c r="G296" s="26"/>
      <c r="H296" s="26"/>
      <c r="I296" s="26"/>
    </row>
    <row r="297" spans="5:9" x14ac:dyDescent="0.25">
      <c r="E297" s="26"/>
      <c r="F297" s="26"/>
      <c r="G297" s="26"/>
      <c r="H297" s="26"/>
      <c r="I297" s="26"/>
    </row>
    <row r="298" spans="5:9" x14ac:dyDescent="0.25">
      <c r="E298" s="26"/>
      <c r="F298" s="26"/>
      <c r="G298" s="26"/>
      <c r="H298" s="26"/>
      <c r="I298" s="26"/>
    </row>
    <row r="299" spans="5:9" x14ac:dyDescent="0.25">
      <c r="E299" s="26"/>
      <c r="F299" s="26"/>
      <c r="G299" s="26"/>
      <c r="H299" s="26"/>
      <c r="I299" s="26"/>
    </row>
    <row r="300" spans="5:9" x14ac:dyDescent="0.25">
      <c r="E300" s="26"/>
      <c r="F300" s="26"/>
      <c r="G300" s="26"/>
      <c r="H300" s="26"/>
      <c r="I300" s="26"/>
    </row>
    <row r="301" spans="5:9" x14ac:dyDescent="0.25">
      <c r="E301" s="26"/>
      <c r="F301" s="26"/>
      <c r="G301" s="26"/>
      <c r="H301" s="26"/>
      <c r="I301" s="26"/>
    </row>
    <row r="302" spans="5:9" x14ac:dyDescent="0.25">
      <c r="E302" s="26"/>
      <c r="F302" s="26"/>
      <c r="G302" s="26"/>
      <c r="H302" s="26"/>
      <c r="I302" s="26"/>
    </row>
    <row r="303" spans="5:9" x14ac:dyDescent="0.25">
      <c r="E303" s="26"/>
      <c r="F303" s="26"/>
      <c r="G303" s="26"/>
      <c r="H303" s="26"/>
      <c r="I303" s="26"/>
    </row>
    <row r="304" spans="5:9" x14ac:dyDescent="0.25">
      <c r="E304" s="26"/>
      <c r="F304" s="26"/>
      <c r="G304" s="26"/>
      <c r="H304" s="26"/>
      <c r="I304" s="26"/>
    </row>
    <row r="305" spans="5:9" x14ac:dyDescent="0.25">
      <c r="E305" s="26"/>
      <c r="F305" s="26"/>
      <c r="G305" s="26"/>
      <c r="H305" s="26"/>
      <c r="I305" s="26"/>
    </row>
    <row r="306" spans="5:9" x14ac:dyDescent="0.25">
      <c r="E306" s="26"/>
      <c r="F306" s="26"/>
      <c r="G306" s="26"/>
      <c r="H306" s="26"/>
      <c r="I306" s="26"/>
    </row>
    <row r="307" spans="5:9" x14ac:dyDescent="0.25">
      <c r="E307" s="26"/>
      <c r="F307" s="26"/>
      <c r="G307" s="26"/>
      <c r="H307" s="26"/>
      <c r="I307" s="26"/>
    </row>
    <row r="308" spans="5:9" x14ac:dyDescent="0.25">
      <c r="E308" s="26"/>
      <c r="F308" s="26"/>
      <c r="G308" s="26"/>
      <c r="H308" s="26"/>
      <c r="I308" s="26"/>
    </row>
    <row r="309" spans="5:9" x14ac:dyDescent="0.25">
      <c r="E309" s="26"/>
      <c r="F309" s="26"/>
      <c r="G309" s="26"/>
      <c r="H309" s="26"/>
      <c r="I309" s="26"/>
    </row>
    <row r="310" spans="5:9" x14ac:dyDescent="0.25">
      <c r="E310" s="26"/>
      <c r="F310" s="26"/>
      <c r="G310" s="26"/>
      <c r="H310" s="26"/>
      <c r="I310" s="26"/>
    </row>
    <row r="311" spans="5:9" x14ac:dyDescent="0.25">
      <c r="E311" s="26"/>
      <c r="F311" s="26"/>
      <c r="G311" s="26"/>
      <c r="H311" s="26"/>
      <c r="I311" s="26"/>
    </row>
    <row r="312" spans="5:9" x14ac:dyDescent="0.25">
      <c r="E312" s="26"/>
      <c r="F312" s="26"/>
      <c r="G312" s="26"/>
      <c r="H312" s="26"/>
      <c r="I312" s="26"/>
    </row>
    <row r="313" spans="5:9" x14ac:dyDescent="0.25">
      <c r="E313" s="26"/>
      <c r="F313" s="26"/>
      <c r="G313" s="26"/>
      <c r="H313" s="26"/>
      <c r="I313" s="26"/>
    </row>
    <row r="314" spans="5:9" x14ac:dyDescent="0.25">
      <c r="E314" s="26"/>
      <c r="F314" s="26"/>
      <c r="G314" s="26"/>
      <c r="H314" s="26"/>
      <c r="I314" s="26"/>
    </row>
    <row r="315" spans="5:9" x14ac:dyDescent="0.25">
      <c r="E315" s="26"/>
      <c r="F315" s="26"/>
      <c r="G315" s="26"/>
      <c r="H315" s="26"/>
      <c r="I315" s="26"/>
    </row>
    <row r="316" spans="5:9" x14ac:dyDescent="0.25">
      <c r="E316" s="26"/>
      <c r="F316" s="26"/>
      <c r="G316" s="26"/>
      <c r="H316" s="26"/>
      <c r="I316" s="26"/>
    </row>
    <row r="317" spans="5:9" x14ac:dyDescent="0.25">
      <c r="E317" s="26"/>
      <c r="F317" s="26"/>
      <c r="G317" s="26"/>
      <c r="H317" s="26"/>
      <c r="I317" s="26"/>
    </row>
    <row r="318" spans="5:9" x14ac:dyDescent="0.25">
      <c r="E318" s="26"/>
      <c r="F318" s="26"/>
      <c r="G318" s="26"/>
      <c r="H318" s="26"/>
      <c r="I318" s="26"/>
    </row>
    <row r="319" spans="5:9" x14ac:dyDescent="0.25">
      <c r="E319" s="26"/>
      <c r="F319" s="26"/>
      <c r="G319" s="26"/>
      <c r="H319" s="26"/>
      <c r="I319" s="26"/>
    </row>
    <row r="320" spans="5:9" x14ac:dyDescent="0.25">
      <c r="E320" s="26"/>
      <c r="F320" s="26"/>
      <c r="G320" s="26"/>
      <c r="H320" s="26"/>
      <c r="I320" s="26"/>
    </row>
    <row r="321" spans="5:9" x14ac:dyDescent="0.25">
      <c r="E321" s="26"/>
      <c r="F321" s="26"/>
      <c r="G321" s="26"/>
      <c r="H321" s="26"/>
      <c r="I321" s="26"/>
    </row>
    <row r="322" spans="5:9" x14ac:dyDescent="0.25">
      <c r="E322" s="26"/>
      <c r="F322" s="26"/>
      <c r="G322" s="26"/>
      <c r="H322" s="26"/>
      <c r="I322" s="26"/>
    </row>
    <row r="323" spans="5:9" x14ac:dyDescent="0.25">
      <c r="E323" s="26"/>
      <c r="F323" s="26"/>
      <c r="G323" s="26"/>
      <c r="H323" s="26"/>
      <c r="I323" s="26"/>
    </row>
    <row r="324" spans="5:9" x14ac:dyDescent="0.25">
      <c r="E324" s="26"/>
      <c r="F324" s="26"/>
      <c r="G324" s="26"/>
      <c r="H324" s="26"/>
      <c r="I324" s="26"/>
    </row>
    <row r="325" spans="5:9" x14ac:dyDescent="0.25">
      <c r="E325" s="26"/>
      <c r="F325" s="26"/>
      <c r="G325" s="26"/>
      <c r="H325" s="26"/>
      <c r="I325" s="26"/>
    </row>
    <row r="326" spans="5:9" x14ac:dyDescent="0.25">
      <c r="E326" s="26"/>
      <c r="F326" s="26"/>
      <c r="G326" s="26"/>
      <c r="H326" s="26"/>
      <c r="I326" s="26"/>
    </row>
    <row r="327" spans="5:9" x14ac:dyDescent="0.25">
      <c r="E327" s="26"/>
      <c r="F327" s="26"/>
      <c r="G327" s="26"/>
      <c r="H327" s="26"/>
      <c r="I327" s="26"/>
    </row>
    <row r="328" spans="5:9" x14ac:dyDescent="0.25">
      <c r="E328" s="26"/>
      <c r="F328" s="26"/>
      <c r="G328" s="26"/>
      <c r="H328" s="26"/>
      <c r="I328" s="26"/>
    </row>
    <row r="329" spans="5:9" x14ac:dyDescent="0.25">
      <c r="E329" s="26"/>
      <c r="F329" s="26"/>
      <c r="G329" s="26"/>
      <c r="H329" s="26"/>
      <c r="I329" s="26"/>
    </row>
    <row r="330" spans="5:9" x14ac:dyDescent="0.25">
      <c r="E330" s="26"/>
      <c r="F330" s="26"/>
      <c r="G330" s="26"/>
      <c r="H330" s="26"/>
      <c r="I330" s="26"/>
    </row>
    <row r="331" spans="5:9" x14ac:dyDescent="0.25">
      <c r="E331" s="26"/>
      <c r="F331" s="26"/>
      <c r="G331" s="26"/>
      <c r="H331" s="26"/>
      <c r="I331" s="26"/>
    </row>
    <row r="332" spans="5:9" x14ac:dyDescent="0.25">
      <c r="E332" s="26"/>
      <c r="F332" s="26"/>
      <c r="G332" s="26"/>
      <c r="H332" s="26"/>
      <c r="I332" s="26"/>
    </row>
    <row r="333" spans="5:9" x14ac:dyDescent="0.25">
      <c r="E333" s="26"/>
      <c r="F333" s="26"/>
      <c r="G333" s="26"/>
      <c r="H333" s="26"/>
      <c r="I333" s="26"/>
    </row>
    <row r="334" spans="5:9" x14ac:dyDescent="0.25">
      <c r="E334" s="26"/>
      <c r="F334" s="26"/>
      <c r="G334" s="26"/>
      <c r="H334" s="26"/>
      <c r="I334" s="26"/>
    </row>
    <row r="335" spans="5:9" x14ac:dyDescent="0.25">
      <c r="E335" s="26"/>
      <c r="F335" s="26"/>
      <c r="G335" s="26"/>
      <c r="H335" s="26"/>
      <c r="I335" s="26"/>
    </row>
    <row r="336" spans="5:9" x14ac:dyDescent="0.25">
      <c r="E336" s="26"/>
      <c r="F336" s="26"/>
      <c r="G336" s="26"/>
      <c r="H336" s="26"/>
      <c r="I336" s="26"/>
    </row>
    <row r="337" spans="5:9" x14ac:dyDescent="0.25">
      <c r="E337" s="26"/>
      <c r="F337" s="26"/>
      <c r="G337" s="26"/>
      <c r="H337" s="26"/>
      <c r="I337" s="26"/>
    </row>
    <row r="338" spans="5:9" x14ac:dyDescent="0.25">
      <c r="E338" s="26"/>
      <c r="F338" s="26"/>
      <c r="G338" s="26"/>
      <c r="H338" s="26"/>
      <c r="I338" s="26"/>
    </row>
    <row r="339" spans="5:9" x14ac:dyDescent="0.25">
      <c r="E339" s="26"/>
      <c r="F339" s="26"/>
      <c r="G339" s="26"/>
      <c r="H339" s="26"/>
      <c r="I339" s="26"/>
    </row>
    <row r="340" spans="5:9" x14ac:dyDescent="0.25">
      <c r="E340" s="26"/>
      <c r="F340" s="26"/>
      <c r="G340" s="26"/>
      <c r="H340" s="26"/>
      <c r="I340" s="26"/>
    </row>
    <row r="341" spans="5:9" x14ac:dyDescent="0.25">
      <c r="E341" s="26"/>
      <c r="F341" s="26"/>
      <c r="G341" s="26"/>
      <c r="H341" s="26"/>
      <c r="I341" s="26"/>
    </row>
    <row r="342" spans="5:9" x14ac:dyDescent="0.25">
      <c r="E342" s="26"/>
      <c r="F342" s="26"/>
      <c r="G342" s="26"/>
      <c r="H342" s="26"/>
      <c r="I342" s="26"/>
    </row>
    <row r="343" spans="5:9" x14ac:dyDescent="0.25">
      <c r="E343" s="26"/>
      <c r="F343" s="26"/>
      <c r="G343" s="26"/>
      <c r="H343" s="26"/>
      <c r="I343" s="26"/>
    </row>
    <row r="344" spans="5:9" x14ac:dyDescent="0.25">
      <c r="E344" s="26"/>
      <c r="F344" s="26"/>
      <c r="G344" s="26"/>
      <c r="H344" s="26"/>
      <c r="I344" s="26"/>
    </row>
    <row r="345" spans="5:9" x14ac:dyDescent="0.25">
      <c r="E345" s="26"/>
      <c r="F345" s="26"/>
      <c r="G345" s="26"/>
      <c r="H345" s="26"/>
      <c r="I345" s="26"/>
    </row>
    <row r="346" spans="5:9" x14ac:dyDescent="0.25">
      <c r="E346" s="26"/>
      <c r="F346" s="26"/>
      <c r="G346" s="26"/>
      <c r="H346" s="26"/>
      <c r="I346" s="26"/>
    </row>
    <row r="347" spans="5:9" x14ac:dyDescent="0.25">
      <c r="E347" s="26"/>
      <c r="F347" s="26"/>
      <c r="G347" s="26"/>
      <c r="H347" s="26"/>
      <c r="I347" s="26"/>
    </row>
    <row r="348" spans="5:9" x14ac:dyDescent="0.25">
      <c r="E348" s="26"/>
      <c r="F348" s="26"/>
      <c r="G348" s="26"/>
      <c r="H348" s="26"/>
      <c r="I348" s="26"/>
    </row>
    <row r="349" spans="5:9" x14ac:dyDescent="0.25">
      <c r="E349" s="26"/>
      <c r="F349" s="26"/>
      <c r="G349" s="26"/>
      <c r="H349" s="26"/>
      <c r="I349" s="26"/>
    </row>
    <row r="350" spans="5:9" x14ac:dyDescent="0.25">
      <c r="E350" s="26"/>
      <c r="F350" s="26"/>
      <c r="G350" s="26"/>
      <c r="H350" s="26"/>
      <c r="I350" s="26"/>
    </row>
    <row r="351" spans="5:9" x14ac:dyDescent="0.25">
      <c r="E351" s="26"/>
      <c r="F351" s="26"/>
      <c r="G351" s="26"/>
      <c r="H351" s="26"/>
      <c r="I351" s="26"/>
    </row>
    <row r="352" spans="5:9" x14ac:dyDescent="0.25">
      <c r="E352" s="26"/>
      <c r="F352" s="26"/>
      <c r="G352" s="26"/>
      <c r="H352" s="26"/>
      <c r="I352" s="26"/>
    </row>
    <row r="353" spans="5:9" x14ac:dyDescent="0.25">
      <c r="E353" s="26"/>
      <c r="F353" s="26"/>
      <c r="G353" s="26"/>
      <c r="H353" s="26"/>
      <c r="I353" s="26"/>
    </row>
    <row r="354" spans="5:9" x14ac:dyDescent="0.25">
      <c r="E354" s="26"/>
      <c r="F354" s="26"/>
      <c r="G354" s="26"/>
      <c r="H354" s="26"/>
      <c r="I354" s="26"/>
    </row>
    <row r="355" spans="5:9" x14ac:dyDescent="0.25">
      <c r="E355" s="26"/>
      <c r="F355" s="26"/>
      <c r="G355" s="26"/>
      <c r="H355" s="26"/>
      <c r="I355" s="26"/>
    </row>
    <row r="356" spans="5:9" x14ac:dyDescent="0.25">
      <c r="E356" s="26"/>
      <c r="F356" s="26"/>
      <c r="G356" s="26"/>
      <c r="H356" s="26"/>
      <c r="I356" s="26"/>
    </row>
    <row r="357" spans="5:9" x14ac:dyDescent="0.25">
      <c r="E357" s="26"/>
      <c r="F357" s="26"/>
      <c r="G357" s="26"/>
      <c r="H357" s="26"/>
      <c r="I357" s="26"/>
    </row>
    <row r="358" spans="5:9" x14ac:dyDescent="0.25">
      <c r="E358" s="26"/>
      <c r="F358" s="26"/>
      <c r="G358" s="26"/>
      <c r="H358" s="26"/>
      <c r="I358" s="26"/>
    </row>
    <row r="359" spans="5:9" x14ac:dyDescent="0.25">
      <c r="E359" s="26"/>
      <c r="F359" s="26"/>
      <c r="G359" s="26"/>
      <c r="H359" s="26"/>
      <c r="I359" s="26"/>
    </row>
    <row r="360" spans="5:9" x14ac:dyDescent="0.25">
      <c r="E360" s="26"/>
      <c r="F360" s="26"/>
      <c r="G360" s="26"/>
      <c r="H360" s="26"/>
      <c r="I360" s="26"/>
    </row>
    <row r="361" spans="5:9" x14ac:dyDescent="0.25">
      <c r="E361" s="26"/>
      <c r="F361" s="26"/>
      <c r="G361" s="26"/>
      <c r="H361" s="26"/>
      <c r="I361" s="26"/>
    </row>
    <row r="362" spans="5:9" x14ac:dyDescent="0.25">
      <c r="E362" s="26"/>
      <c r="F362" s="26"/>
      <c r="G362" s="26"/>
      <c r="H362" s="26"/>
      <c r="I362" s="26"/>
    </row>
    <row r="363" spans="5:9" x14ac:dyDescent="0.25">
      <c r="E363" s="26"/>
      <c r="F363" s="26"/>
      <c r="G363" s="26"/>
      <c r="H363" s="26"/>
      <c r="I363" s="26"/>
    </row>
    <row r="364" spans="5:9" x14ac:dyDescent="0.25">
      <c r="E364" s="26"/>
      <c r="F364" s="26"/>
      <c r="G364" s="26"/>
      <c r="H364" s="26"/>
      <c r="I364" s="26"/>
    </row>
    <row r="365" spans="5:9" x14ac:dyDescent="0.25">
      <c r="E365" s="26"/>
      <c r="F365" s="26"/>
      <c r="G365" s="26"/>
      <c r="H365" s="26"/>
      <c r="I365" s="26"/>
    </row>
    <row r="366" spans="5:9" x14ac:dyDescent="0.25">
      <c r="E366" s="26"/>
      <c r="F366" s="26"/>
      <c r="G366" s="26"/>
      <c r="H366" s="26"/>
      <c r="I366" s="26"/>
    </row>
    <row r="367" spans="5:9" x14ac:dyDescent="0.25">
      <c r="E367" s="26"/>
      <c r="F367" s="26"/>
      <c r="G367" s="26"/>
      <c r="H367" s="26"/>
      <c r="I367" s="26"/>
    </row>
    <row r="368" spans="5:9" x14ac:dyDescent="0.25">
      <c r="E368" s="26"/>
      <c r="F368" s="26"/>
      <c r="G368" s="26"/>
      <c r="H368" s="26"/>
      <c r="I368" s="26"/>
    </row>
    <row r="369" spans="5:9" x14ac:dyDescent="0.25">
      <c r="E369" s="26"/>
      <c r="F369" s="26"/>
      <c r="G369" s="26"/>
      <c r="H369" s="26"/>
      <c r="I369" s="26"/>
    </row>
    <row r="370" spans="5:9" x14ac:dyDescent="0.25">
      <c r="E370" s="26"/>
      <c r="F370" s="26"/>
      <c r="G370" s="26"/>
      <c r="H370" s="26"/>
      <c r="I370" s="26"/>
    </row>
    <row r="371" spans="5:9" x14ac:dyDescent="0.25">
      <c r="E371" s="26"/>
      <c r="F371" s="26"/>
      <c r="G371" s="26"/>
      <c r="H371" s="26"/>
      <c r="I371" s="26"/>
    </row>
    <row r="372" spans="5:9" x14ac:dyDescent="0.25">
      <c r="E372" s="26"/>
      <c r="F372" s="26"/>
      <c r="G372" s="26"/>
      <c r="H372" s="26"/>
      <c r="I372" s="26"/>
    </row>
    <row r="373" spans="5:9" x14ac:dyDescent="0.25">
      <c r="E373" s="26"/>
      <c r="F373" s="26"/>
      <c r="G373" s="26"/>
      <c r="H373" s="26"/>
      <c r="I373" s="26"/>
    </row>
    <row r="374" spans="5:9" x14ac:dyDescent="0.25">
      <c r="E374" s="26"/>
      <c r="F374" s="26"/>
      <c r="G374" s="26"/>
      <c r="H374" s="26"/>
      <c r="I374" s="26"/>
    </row>
    <row r="375" spans="5:9" x14ac:dyDescent="0.25">
      <c r="E375" s="26"/>
      <c r="F375" s="26"/>
      <c r="G375" s="26"/>
      <c r="H375" s="26"/>
      <c r="I375" s="26"/>
    </row>
    <row r="376" spans="5:9" x14ac:dyDescent="0.25">
      <c r="E376" s="26"/>
      <c r="F376" s="26"/>
      <c r="G376" s="26"/>
      <c r="H376" s="26"/>
      <c r="I376" s="26"/>
    </row>
    <row r="377" spans="5:9" x14ac:dyDescent="0.25">
      <c r="E377" s="26"/>
      <c r="F377" s="26"/>
      <c r="G377" s="26"/>
      <c r="H377" s="26"/>
      <c r="I377" s="26"/>
    </row>
    <row r="378" spans="5:9" x14ac:dyDescent="0.25">
      <c r="E378" s="26"/>
      <c r="F378" s="26"/>
      <c r="G378" s="26"/>
      <c r="H378" s="26"/>
      <c r="I378" s="26"/>
    </row>
    <row r="379" spans="5:9" x14ac:dyDescent="0.25">
      <c r="E379" s="26"/>
      <c r="F379" s="26"/>
      <c r="G379" s="26"/>
      <c r="H379" s="26"/>
      <c r="I379" s="26"/>
    </row>
    <row r="380" spans="5:9" x14ac:dyDescent="0.25">
      <c r="E380" s="26"/>
      <c r="F380" s="26"/>
      <c r="G380" s="26"/>
      <c r="H380" s="26"/>
      <c r="I380" s="26"/>
    </row>
    <row r="381" spans="5:9" x14ac:dyDescent="0.25">
      <c r="E381" s="26"/>
      <c r="F381" s="26"/>
      <c r="G381" s="26"/>
      <c r="H381" s="26"/>
      <c r="I381" s="26"/>
    </row>
    <row r="382" spans="5:9" x14ac:dyDescent="0.25">
      <c r="E382" s="26"/>
      <c r="F382" s="26"/>
      <c r="G382" s="26"/>
      <c r="H382" s="26"/>
      <c r="I382" s="26"/>
    </row>
    <row r="383" spans="5:9" x14ac:dyDescent="0.25">
      <c r="E383" s="26"/>
      <c r="F383" s="26"/>
      <c r="G383" s="26"/>
      <c r="H383" s="26"/>
      <c r="I383" s="26"/>
    </row>
    <row r="384" spans="5:9" x14ac:dyDescent="0.25">
      <c r="E384" s="26"/>
      <c r="F384" s="26"/>
      <c r="G384" s="26"/>
      <c r="H384" s="26"/>
      <c r="I384" s="26"/>
    </row>
    <row r="385" spans="5:9" x14ac:dyDescent="0.25">
      <c r="E385" s="26"/>
      <c r="F385" s="26"/>
      <c r="G385" s="26"/>
      <c r="H385" s="26"/>
      <c r="I385" s="26"/>
    </row>
    <row r="386" spans="5:9" x14ac:dyDescent="0.25">
      <c r="E386" s="26"/>
      <c r="F386" s="26"/>
      <c r="G386" s="26"/>
      <c r="H386" s="26"/>
      <c r="I386" s="26"/>
    </row>
    <row r="387" spans="5:9" x14ac:dyDescent="0.25">
      <c r="E387" s="26"/>
      <c r="F387" s="26"/>
      <c r="G387" s="26"/>
      <c r="H387" s="26"/>
      <c r="I387" s="26"/>
    </row>
    <row r="388" spans="5:9" x14ac:dyDescent="0.25">
      <c r="E388" s="26"/>
      <c r="F388" s="26"/>
      <c r="G388" s="26"/>
      <c r="H388" s="26"/>
      <c r="I388" s="26"/>
    </row>
    <row r="389" spans="5:9" x14ac:dyDescent="0.25">
      <c r="E389" s="26"/>
      <c r="F389" s="26"/>
      <c r="G389" s="26"/>
      <c r="H389" s="26"/>
      <c r="I389" s="26"/>
    </row>
    <row r="390" spans="5:9" x14ac:dyDescent="0.25">
      <c r="E390" s="26"/>
      <c r="F390" s="26"/>
      <c r="G390" s="26"/>
      <c r="H390" s="26"/>
      <c r="I390" s="26"/>
    </row>
    <row r="391" spans="5:9" x14ac:dyDescent="0.25">
      <c r="E391" s="26"/>
      <c r="F391" s="26"/>
      <c r="G391" s="26"/>
      <c r="H391" s="26"/>
      <c r="I391" s="26"/>
    </row>
    <row r="392" spans="5:9" x14ac:dyDescent="0.25">
      <c r="E392" s="26"/>
      <c r="F392" s="26"/>
      <c r="G392" s="26"/>
      <c r="H392" s="26"/>
      <c r="I392" s="26"/>
    </row>
    <row r="393" spans="5:9" x14ac:dyDescent="0.25">
      <c r="E393" s="26"/>
      <c r="F393" s="26"/>
      <c r="G393" s="26"/>
      <c r="H393" s="26"/>
      <c r="I393" s="26"/>
    </row>
    <row r="394" spans="5:9" x14ac:dyDescent="0.25">
      <c r="E394" s="26"/>
      <c r="F394" s="26"/>
      <c r="G394" s="26"/>
      <c r="H394" s="26"/>
      <c r="I394" s="26"/>
    </row>
    <row r="395" spans="5:9" x14ac:dyDescent="0.25">
      <c r="E395" s="26"/>
      <c r="F395" s="26"/>
      <c r="G395" s="26"/>
      <c r="H395" s="26"/>
      <c r="I395" s="26"/>
    </row>
    <row r="396" spans="5:9" x14ac:dyDescent="0.25">
      <c r="E396" s="26"/>
      <c r="F396" s="26"/>
      <c r="G396" s="26"/>
      <c r="H396" s="26"/>
      <c r="I396" s="26"/>
    </row>
    <row r="397" spans="5:9" x14ac:dyDescent="0.25">
      <c r="E397" s="26"/>
      <c r="F397" s="26"/>
      <c r="G397" s="26"/>
      <c r="H397" s="26"/>
      <c r="I397" s="26"/>
    </row>
    <row r="398" spans="5:9" x14ac:dyDescent="0.25">
      <c r="E398" s="26"/>
      <c r="F398" s="26"/>
      <c r="G398" s="26"/>
      <c r="H398" s="26"/>
      <c r="I398" s="26"/>
    </row>
    <row r="399" spans="5:9" x14ac:dyDescent="0.25">
      <c r="E399" s="26"/>
      <c r="F399" s="26"/>
      <c r="G399" s="26"/>
      <c r="H399" s="26"/>
      <c r="I399" s="26"/>
    </row>
    <row r="400" spans="5:9" x14ac:dyDescent="0.25">
      <c r="E400" s="26"/>
      <c r="F400" s="26"/>
      <c r="G400" s="26"/>
      <c r="H400" s="26"/>
      <c r="I400" s="26"/>
    </row>
    <row r="401" spans="5:9" x14ac:dyDescent="0.25">
      <c r="E401" s="26"/>
      <c r="F401" s="26"/>
      <c r="G401" s="26"/>
      <c r="H401" s="26"/>
      <c r="I401" s="26"/>
    </row>
    <row r="402" spans="5:9" x14ac:dyDescent="0.25">
      <c r="E402" s="26"/>
      <c r="F402" s="26"/>
      <c r="G402" s="26"/>
      <c r="H402" s="26"/>
      <c r="I402" s="26"/>
    </row>
    <row r="403" spans="5:9" x14ac:dyDescent="0.25">
      <c r="E403" s="26"/>
      <c r="F403" s="26"/>
      <c r="G403" s="26"/>
      <c r="H403" s="26"/>
      <c r="I403" s="26"/>
    </row>
    <row r="404" spans="5:9" x14ac:dyDescent="0.25">
      <c r="E404" s="26"/>
      <c r="F404" s="26"/>
      <c r="G404" s="26"/>
      <c r="H404" s="26"/>
      <c r="I404" s="26"/>
    </row>
    <row r="405" spans="5:9" x14ac:dyDescent="0.25">
      <c r="E405" s="26"/>
      <c r="F405" s="26"/>
      <c r="G405" s="26"/>
      <c r="H405" s="26"/>
      <c r="I405" s="26"/>
    </row>
    <row r="406" spans="5:9" x14ac:dyDescent="0.25">
      <c r="E406" s="26"/>
      <c r="F406" s="26"/>
      <c r="G406" s="26"/>
      <c r="H406" s="26"/>
      <c r="I406" s="26"/>
    </row>
    <row r="407" spans="5:9" x14ac:dyDescent="0.25">
      <c r="E407" s="26"/>
      <c r="F407" s="26"/>
      <c r="G407" s="26"/>
      <c r="H407" s="26"/>
      <c r="I407" s="26"/>
    </row>
    <row r="408" spans="5:9" x14ac:dyDescent="0.25">
      <c r="E408" s="26"/>
      <c r="F408" s="26"/>
      <c r="G408" s="26"/>
      <c r="H408" s="26"/>
      <c r="I408" s="26"/>
    </row>
    <row r="409" spans="5:9" x14ac:dyDescent="0.25">
      <c r="E409" s="26"/>
      <c r="F409" s="26"/>
      <c r="G409" s="26"/>
      <c r="H409" s="26"/>
      <c r="I409" s="26"/>
    </row>
    <row r="410" spans="5:9" x14ac:dyDescent="0.25">
      <c r="E410" s="26"/>
      <c r="F410" s="26"/>
      <c r="G410" s="26"/>
      <c r="H410" s="26"/>
      <c r="I410" s="26"/>
    </row>
    <row r="411" spans="5:9" x14ac:dyDescent="0.25">
      <c r="E411" s="26"/>
      <c r="F411" s="26"/>
      <c r="G411" s="26"/>
      <c r="H411" s="26"/>
      <c r="I411" s="26"/>
    </row>
    <row r="412" spans="5:9" x14ac:dyDescent="0.25">
      <c r="E412" s="26"/>
      <c r="F412" s="26"/>
      <c r="G412" s="26"/>
      <c r="H412" s="26"/>
      <c r="I412" s="26"/>
    </row>
    <row r="413" spans="5:9" x14ac:dyDescent="0.25">
      <c r="E413" s="26"/>
      <c r="F413" s="26"/>
      <c r="G413" s="26"/>
      <c r="H413" s="26"/>
      <c r="I413" s="26"/>
    </row>
    <row r="414" spans="5:9" x14ac:dyDescent="0.25">
      <c r="E414" s="26"/>
      <c r="F414" s="26"/>
      <c r="G414" s="26"/>
      <c r="H414" s="26"/>
      <c r="I414" s="26"/>
    </row>
    <row r="415" spans="5:9" x14ac:dyDescent="0.25">
      <c r="E415" s="26"/>
      <c r="F415" s="26"/>
      <c r="G415" s="26"/>
      <c r="H415" s="26"/>
      <c r="I415" s="26"/>
    </row>
    <row r="416" spans="5:9" x14ac:dyDescent="0.25">
      <c r="E416" s="26"/>
      <c r="F416" s="26"/>
      <c r="G416" s="26"/>
      <c r="H416" s="26"/>
      <c r="I416" s="26"/>
    </row>
    <row r="417" spans="5:9" x14ac:dyDescent="0.25">
      <c r="E417" s="26"/>
      <c r="F417" s="26"/>
      <c r="G417" s="26"/>
      <c r="H417" s="26"/>
      <c r="I417" s="26"/>
    </row>
    <row r="418" spans="5:9" x14ac:dyDescent="0.25">
      <c r="E418" s="26"/>
      <c r="F418" s="26"/>
      <c r="G418" s="26"/>
      <c r="H418" s="26"/>
      <c r="I418" s="26"/>
    </row>
    <row r="419" spans="5:9" x14ac:dyDescent="0.25">
      <c r="E419" s="26"/>
      <c r="F419" s="26"/>
      <c r="G419" s="26"/>
      <c r="H419" s="26"/>
      <c r="I419" s="26"/>
    </row>
    <row r="420" spans="5:9" x14ac:dyDescent="0.25">
      <c r="E420" s="26"/>
      <c r="F420" s="26"/>
      <c r="G420" s="26"/>
      <c r="H420" s="26"/>
      <c r="I420" s="26"/>
    </row>
    <row r="421" spans="5:9" x14ac:dyDescent="0.25">
      <c r="E421" s="26"/>
      <c r="F421" s="26"/>
      <c r="G421" s="26"/>
      <c r="H421" s="26"/>
      <c r="I421" s="26"/>
    </row>
    <row r="422" spans="5:9" x14ac:dyDescent="0.25">
      <c r="E422" s="26"/>
      <c r="F422" s="26"/>
      <c r="G422" s="26"/>
      <c r="H422" s="26"/>
      <c r="I422" s="26"/>
    </row>
    <row r="423" spans="5:9" x14ac:dyDescent="0.25">
      <c r="E423" s="26"/>
      <c r="F423" s="26"/>
      <c r="G423" s="26"/>
      <c r="H423" s="26"/>
      <c r="I423" s="26"/>
    </row>
    <row r="424" spans="5:9" x14ac:dyDescent="0.25">
      <c r="E424" s="26"/>
      <c r="F424" s="26"/>
      <c r="G424" s="26"/>
      <c r="H424" s="26"/>
      <c r="I424" s="26"/>
    </row>
    <row r="425" spans="5:9" x14ac:dyDescent="0.25">
      <c r="E425" s="26"/>
      <c r="F425" s="26"/>
      <c r="G425" s="26"/>
      <c r="H425" s="26"/>
      <c r="I425" s="26"/>
    </row>
    <row r="426" spans="5:9" x14ac:dyDescent="0.25">
      <c r="E426" s="26"/>
      <c r="F426" s="26"/>
      <c r="G426" s="26"/>
      <c r="H426" s="26"/>
      <c r="I426" s="26"/>
    </row>
    <row r="427" spans="5:9" x14ac:dyDescent="0.25">
      <c r="E427" s="26"/>
      <c r="F427" s="26"/>
      <c r="G427" s="26"/>
      <c r="H427" s="26"/>
      <c r="I427" s="26"/>
    </row>
    <row r="428" spans="5:9" x14ac:dyDescent="0.25">
      <c r="E428" s="26"/>
      <c r="F428" s="26"/>
      <c r="G428" s="26"/>
      <c r="H428" s="26"/>
      <c r="I428" s="26"/>
    </row>
    <row r="429" spans="5:9" x14ac:dyDescent="0.25">
      <c r="E429" s="26"/>
      <c r="F429" s="26"/>
      <c r="G429" s="26"/>
      <c r="H429" s="26"/>
      <c r="I429" s="26"/>
    </row>
    <row r="430" spans="5:9" x14ac:dyDescent="0.25">
      <c r="E430" s="26"/>
      <c r="F430" s="26"/>
      <c r="G430" s="26"/>
      <c r="H430" s="26"/>
      <c r="I430" s="26"/>
    </row>
    <row r="431" spans="5:9" x14ac:dyDescent="0.25">
      <c r="E431" s="26"/>
      <c r="F431" s="26"/>
      <c r="G431" s="26"/>
      <c r="H431" s="26"/>
      <c r="I431" s="26"/>
    </row>
    <row r="432" spans="5:9" x14ac:dyDescent="0.25">
      <c r="E432" s="26"/>
      <c r="F432" s="26"/>
      <c r="G432" s="26"/>
      <c r="H432" s="26"/>
      <c r="I432" s="26"/>
    </row>
    <row r="433" spans="5:9" x14ac:dyDescent="0.25">
      <c r="E433" s="26"/>
      <c r="F433" s="26"/>
      <c r="G433" s="26"/>
      <c r="H433" s="26"/>
      <c r="I433" s="26"/>
    </row>
    <row r="434" spans="5:9" x14ac:dyDescent="0.25">
      <c r="E434" s="26"/>
      <c r="F434" s="26"/>
      <c r="G434" s="26"/>
      <c r="H434" s="26"/>
      <c r="I434" s="26"/>
    </row>
    <row r="435" spans="5:9" x14ac:dyDescent="0.25">
      <c r="E435" s="26"/>
      <c r="F435" s="26"/>
      <c r="G435" s="26"/>
      <c r="H435" s="26"/>
      <c r="I435" s="26"/>
    </row>
    <row r="436" spans="5:9" x14ac:dyDescent="0.25">
      <c r="E436" s="26"/>
      <c r="F436" s="26"/>
      <c r="G436" s="26"/>
      <c r="H436" s="26"/>
      <c r="I436" s="26"/>
    </row>
    <row r="437" spans="5:9" x14ac:dyDescent="0.25">
      <c r="E437" s="26"/>
      <c r="F437" s="26"/>
      <c r="G437" s="26"/>
      <c r="H437" s="26"/>
      <c r="I437" s="26"/>
    </row>
    <row r="438" spans="5:9" x14ac:dyDescent="0.25">
      <c r="E438" s="26"/>
      <c r="F438" s="26"/>
      <c r="G438" s="26"/>
      <c r="H438" s="26"/>
      <c r="I438" s="26"/>
    </row>
    <row r="439" spans="5:9" x14ac:dyDescent="0.25">
      <c r="E439" s="26"/>
      <c r="F439" s="26"/>
      <c r="G439" s="26"/>
      <c r="H439" s="26"/>
      <c r="I439" s="26"/>
    </row>
    <row r="440" spans="5:9" x14ac:dyDescent="0.25">
      <c r="E440" s="26"/>
      <c r="F440" s="26"/>
      <c r="G440" s="26"/>
      <c r="H440" s="26"/>
      <c r="I440" s="26"/>
    </row>
    <row r="441" spans="5:9" x14ac:dyDescent="0.25">
      <c r="E441" s="26"/>
      <c r="F441" s="26"/>
      <c r="G441" s="26"/>
      <c r="H441" s="26"/>
      <c r="I441" s="26"/>
    </row>
    <row r="442" spans="5:9" x14ac:dyDescent="0.25">
      <c r="E442" s="26"/>
      <c r="F442" s="26"/>
      <c r="G442" s="26"/>
      <c r="H442" s="26"/>
      <c r="I442" s="26"/>
    </row>
    <row r="443" spans="5:9" x14ac:dyDescent="0.25">
      <c r="E443" s="26"/>
      <c r="F443" s="26"/>
      <c r="G443" s="26"/>
      <c r="H443" s="26"/>
      <c r="I443" s="26"/>
    </row>
    <row r="444" spans="5:9" x14ac:dyDescent="0.25">
      <c r="E444" s="26"/>
      <c r="F444" s="26"/>
      <c r="G444" s="26"/>
      <c r="H444" s="26"/>
      <c r="I444" s="26"/>
    </row>
    <row r="445" spans="5:9" x14ac:dyDescent="0.25">
      <c r="E445" s="26"/>
      <c r="F445" s="26"/>
      <c r="G445" s="26"/>
      <c r="H445" s="26"/>
      <c r="I445" s="26"/>
    </row>
    <row r="446" spans="5:9" x14ac:dyDescent="0.25">
      <c r="E446" s="26"/>
      <c r="F446" s="26"/>
      <c r="G446" s="26"/>
      <c r="H446" s="26"/>
      <c r="I446" s="26"/>
    </row>
    <row r="447" spans="5:9" x14ac:dyDescent="0.25">
      <c r="E447" s="26"/>
      <c r="F447" s="26"/>
      <c r="G447" s="26"/>
      <c r="H447" s="26"/>
      <c r="I447" s="26"/>
    </row>
    <row r="448" spans="5:9" x14ac:dyDescent="0.25">
      <c r="E448" s="26"/>
      <c r="F448" s="26"/>
      <c r="G448" s="26"/>
      <c r="H448" s="26"/>
      <c r="I448" s="26"/>
    </row>
    <row r="449" spans="5:9" x14ac:dyDescent="0.25">
      <c r="E449" s="26"/>
      <c r="F449" s="26"/>
      <c r="G449" s="26"/>
      <c r="H449" s="26"/>
      <c r="I449" s="26"/>
    </row>
    <row r="450" spans="5:9" x14ac:dyDescent="0.25">
      <c r="E450" s="26"/>
      <c r="F450" s="26"/>
      <c r="G450" s="26"/>
      <c r="H450" s="26"/>
      <c r="I450" s="26"/>
    </row>
    <row r="451" spans="5:9" x14ac:dyDescent="0.25">
      <c r="E451" s="26"/>
      <c r="F451" s="26"/>
      <c r="G451" s="26"/>
      <c r="H451" s="26"/>
      <c r="I451" s="26"/>
    </row>
    <row r="452" spans="5:9" x14ac:dyDescent="0.25">
      <c r="E452" s="26"/>
      <c r="F452" s="26"/>
      <c r="G452" s="26"/>
      <c r="H452" s="26"/>
      <c r="I452" s="26"/>
    </row>
    <row r="453" spans="5:9" x14ac:dyDescent="0.25">
      <c r="E453" s="26"/>
      <c r="F453" s="26"/>
      <c r="G453" s="26"/>
      <c r="H453" s="26"/>
      <c r="I453" s="26"/>
    </row>
    <row r="454" spans="5:9" x14ac:dyDescent="0.25">
      <c r="E454" s="26"/>
      <c r="F454" s="26"/>
      <c r="G454" s="26"/>
      <c r="H454" s="26"/>
      <c r="I454" s="26"/>
    </row>
    <row r="455" spans="5:9" x14ac:dyDescent="0.25">
      <c r="E455" s="26"/>
      <c r="F455" s="26"/>
      <c r="G455" s="26"/>
      <c r="H455" s="26"/>
      <c r="I455" s="26"/>
    </row>
    <row r="456" spans="5:9" x14ac:dyDescent="0.25">
      <c r="E456" s="26"/>
      <c r="F456" s="26"/>
      <c r="G456" s="26"/>
      <c r="H456" s="26"/>
      <c r="I456" s="26"/>
    </row>
    <row r="457" spans="5:9" x14ac:dyDescent="0.25">
      <c r="E457" s="26"/>
      <c r="F457" s="26"/>
      <c r="G457" s="26"/>
      <c r="H457" s="26"/>
      <c r="I457" s="26"/>
    </row>
    <row r="458" spans="5:9" x14ac:dyDescent="0.25">
      <c r="E458" s="26"/>
      <c r="F458" s="26"/>
      <c r="G458" s="26"/>
      <c r="H458" s="26"/>
      <c r="I458" s="26"/>
    </row>
    <row r="459" spans="5:9" x14ac:dyDescent="0.25">
      <c r="E459" s="26"/>
      <c r="F459" s="26"/>
      <c r="G459" s="26"/>
      <c r="H459" s="26"/>
      <c r="I459" s="26"/>
    </row>
    <row r="460" spans="5:9" x14ac:dyDescent="0.25">
      <c r="E460" s="26"/>
      <c r="F460" s="26"/>
      <c r="G460" s="26"/>
      <c r="H460" s="26"/>
      <c r="I460" s="26"/>
    </row>
    <row r="461" spans="5:9" x14ac:dyDescent="0.25">
      <c r="E461" s="26"/>
      <c r="F461" s="26"/>
      <c r="G461" s="26"/>
      <c r="H461" s="26"/>
      <c r="I461" s="26"/>
    </row>
    <row r="462" spans="5:9" x14ac:dyDescent="0.25">
      <c r="E462" s="26"/>
      <c r="F462" s="26"/>
      <c r="G462" s="26"/>
      <c r="H462" s="26"/>
      <c r="I462" s="26"/>
    </row>
    <row r="463" spans="5:9" x14ac:dyDescent="0.25">
      <c r="E463" s="26"/>
      <c r="F463" s="26"/>
      <c r="G463" s="26"/>
      <c r="H463" s="26"/>
      <c r="I463" s="26"/>
    </row>
    <row r="464" spans="5:9" x14ac:dyDescent="0.25">
      <c r="E464" s="26"/>
      <c r="F464" s="26"/>
      <c r="G464" s="26"/>
      <c r="H464" s="26"/>
      <c r="I464" s="26"/>
    </row>
    <row r="465" spans="5:9" x14ac:dyDescent="0.25">
      <c r="E465" s="26"/>
      <c r="F465" s="26"/>
      <c r="G465" s="26"/>
      <c r="H465" s="26"/>
      <c r="I465" s="26"/>
    </row>
    <row r="466" spans="5:9" x14ac:dyDescent="0.25">
      <c r="E466" s="26"/>
      <c r="F466" s="26"/>
      <c r="G466" s="26"/>
      <c r="H466" s="26"/>
      <c r="I466" s="26"/>
    </row>
    <row r="467" spans="5:9" x14ac:dyDescent="0.25">
      <c r="E467" s="26"/>
      <c r="F467" s="26"/>
      <c r="G467" s="26"/>
      <c r="H467" s="26"/>
      <c r="I467" s="26"/>
    </row>
    <row r="468" spans="5:9" x14ac:dyDescent="0.25">
      <c r="E468" s="26"/>
      <c r="F468" s="26"/>
      <c r="G468" s="26"/>
      <c r="H468" s="26"/>
      <c r="I468" s="26"/>
    </row>
    <row r="469" spans="5:9" x14ac:dyDescent="0.25">
      <c r="E469" s="26"/>
      <c r="F469" s="26"/>
      <c r="G469" s="26"/>
      <c r="H469" s="26"/>
      <c r="I469" s="26"/>
    </row>
    <row r="470" spans="5:9" x14ac:dyDescent="0.25">
      <c r="E470" s="26"/>
      <c r="F470" s="26"/>
      <c r="G470" s="26"/>
      <c r="H470" s="26"/>
      <c r="I470" s="26"/>
    </row>
    <row r="471" spans="5:9" x14ac:dyDescent="0.25">
      <c r="E471" s="26"/>
      <c r="F471" s="26"/>
      <c r="G471" s="26"/>
      <c r="H471" s="26"/>
      <c r="I471" s="26"/>
    </row>
    <row r="472" spans="5:9" x14ac:dyDescent="0.25">
      <c r="E472" s="26"/>
      <c r="F472" s="26"/>
      <c r="G472" s="26"/>
      <c r="H472" s="26"/>
      <c r="I472" s="26"/>
    </row>
    <row r="473" spans="5:9" x14ac:dyDescent="0.25">
      <c r="E473" s="26"/>
      <c r="F473" s="26"/>
      <c r="G473" s="26"/>
      <c r="H473" s="26"/>
      <c r="I473" s="26"/>
    </row>
    <row r="474" spans="5:9" x14ac:dyDescent="0.25">
      <c r="E474" s="26"/>
      <c r="F474" s="26"/>
      <c r="G474" s="26"/>
      <c r="H474" s="26"/>
      <c r="I474" s="26"/>
    </row>
    <row r="475" spans="5:9" x14ac:dyDescent="0.25">
      <c r="E475" s="26"/>
      <c r="F475" s="26"/>
      <c r="G475" s="26"/>
      <c r="H475" s="26"/>
      <c r="I475" s="26"/>
    </row>
    <row r="476" spans="5:9" x14ac:dyDescent="0.25">
      <c r="E476" s="26"/>
      <c r="F476" s="26"/>
      <c r="G476" s="26"/>
      <c r="H476" s="26"/>
      <c r="I476" s="26"/>
    </row>
    <row r="477" spans="5:9" x14ac:dyDescent="0.25">
      <c r="E477" s="26"/>
      <c r="F477" s="26"/>
      <c r="G477" s="26"/>
      <c r="H477" s="26"/>
      <c r="I477" s="26"/>
    </row>
    <row r="478" spans="5:9" x14ac:dyDescent="0.25">
      <c r="E478" s="26"/>
      <c r="F478" s="26"/>
      <c r="G478" s="26"/>
      <c r="H478" s="26"/>
      <c r="I478" s="26"/>
    </row>
    <row r="479" spans="5:9" x14ac:dyDescent="0.25">
      <c r="E479" s="26"/>
      <c r="F479" s="26"/>
      <c r="G479" s="26"/>
      <c r="H479" s="26"/>
      <c r="I479" s="26"/>
    </row>
    <row r="480" spans="5:9" x14ac:dyDescent="0.25">
      <c r="E480" s="26"/>
      <c r="F480" s="26"/>
      <c r="G480" s="26"/>
      <c r="H480" s="26"/>
      <c r="I480" s="26"/>
    </row>
    <row r="481" spans="5:9" x14ac:dyDescent="0.25">
      <c r="E481" s="26"/>
      <c r="F481" s="26"/>
      <c r="G481" s="26"/>
      <c r="H481" s="26"/>
      <c r="I481" s="26"/>
    </row>
    <row r="482" spans="5:9" x14ac:dyDescent="0.25">
      <c r="E482" s="26"/>
      <c r="F482" s="26"/>
      <c r="G482" s="26"/>
      <c r="H482" s="26"/>
      <c r="I482" s="26"/>
    </row>
    <row r="483" spans="5:9" x14ac:dyDescent="0.25">
      <c r="E483" s="26"/>
      <c r="F483" s="26"/>
      <c r="G483" s="26"/>
      <c r="H483" s="26"/>
      <c r="I483" s="26"/>
    </row>
    <row r="484" spans="5:9" x14ac:dyDescent="0.25">
      <c r="E484" s="26"/>
      <c r="F484" s="26"/>
      <c r="G484" s="26"/>
      <c r="H484" s="26"/>
      <c r="I484" s="26"/>
    </row>
    <row r="485" spans="5:9" x14ac:dyDescent="0.25">
      <c r="E485" s="26"/>
      <c r="F485" s="26"/>
      <c r="G485" s="26"/>
      <c r="H485" s="26"/>
      <c r="I485" s="26"/>
    </row>
    <row r="486" spans="5:9" x14ac:dyDescent="0.25">
      <c r="E486" s="26"/>
      <c r="F486" s="26"/>
      <c r="G486" s="26"/>
      <c r="H486" s="26"/>
      <c r="I486" s="26"/>
    </row>
    <row r="487" spans="5:9" x14ac:dyDescent="0.25">
      <c r="E487" s="26"/>
      <c r="F487" s="26"/>
      <c r="G487" s="26"/>
      <c r="H487" s="26"/>
      <c r="I487" s="26"/>
    </row>
    <row r="488" spans="5:9" x14ac:dyDescent="0.25">
      <c r="E488" s="26"/>
      <c r="F488" s="26"/>
      <c r="G488" s="26"/>
      <c r="H488" s="26"/>
      <c r="I488" s="26"/>
    </row>
    <row r="489" spans="5:9" x14ac:dyDescent="0.25">
      <c r="E489" s="26"/>
      <c r="F489" s="26"/>
      <c r="G489" s="26"/>
      <c r="H489" s="26"/>
      <c r="I489" s="26"/>
    </row>
    <row r="490" spans="5:9" x14ac:dyDescent="0.25">
      <c r="E490" s="26"/>
      <c r="F490" s="26"/>
      <c r="G490" s="26"/>
      <c r="H490" s="26"/>
      <c r="I490" s="26"/>
    </row>
    <row r="491" spans="5:9" x14ac:dyDescent="0.25">
      <c r="E491" s="26"/>
      <c r="F491" s="26"/>
      <c r="G491" s="26"/>
      <c r="H491" s="26"/>
      <c r="I491" s="26"/>
    </row>
    <row r="492" spans="5:9" x14ac:dyDescent="0.25">
      <c r="E492" s="26"/>
      <c r="F492" s="26"/>
      <c r="G492" s="26"/>
      <c r="H492" s="26"/>
      <c r="I492" s="26"/>
    </row>
    <row r="493" spans="5:9" x14ac:dyDescent="0.25">
      <c r="E493" s="26"/>
      <c r="F493" s="26"/>
      <c r="G493" s="26"/>
      <c r="H493" s="26"/>
      <c r="I493" s="26"/>
    </row>
    <row r="494" spans="5:9" x14ac:dyDescent="0.25">
      <c r="E494" s="26"/>
      <c r="F494" s="26"/>
      <c r="G494" s="26"/>
      <c r="H494" s="26"/>
      <c r="I494" s="26"/>
    </row>
    <row r="495" spans="5:9" x14ac:dyDescent="0.25">
      <c r="E495" s="26"/>
      <c r="F495" s="26"/>
      <c r="G495" s="26"/>
      <c r="H495" s="26"/>
      <c r="I495" s="26"/>
    </row>
    <row r="496" spans="5:9" x14ac:dyDescent="0.25">
      <c r="E496" s="26"/>
      <c r="F496" s="26"/>
      <c r="G496" s="26"/>
      <c r="H496" s="26"/>
      <c r="I496" s="26"/>
    </row>
    <row r="497" spans="5:9" x14ac:dyDescent="0.25">
      <c r="E497" s="26"/>
      <c r="F497" s="26"/>
      <c r="G497" s="26"/>
      <c r="H497" s="26"/>
      <c r="I497" s="26"/>
    </row>
    <row r="498" spans="5:9" x14ac:dyDescent="0.25">
      <c r="E498" s="26"/>
      <c r="F498" s="26"/>
      <c r="G498" s="26"/>
      <c r="H498" s="26"/>
      <c r="I498" s="26"/>
    </row>
    <row r="499" spans="5:9" x14ac:dyDescent="0.25">
      <c r="E499" s="26"/>
      <c r="F499" s="26"/>
      <c r="G499" s="26"/>
      <c r="H499" s="26"/>
      <c r="I499" s="26"/>
    </row>
    <row r="500" spans="5:9" x14ac:dyDescent="0.25">
      <c r="E500" s="26"/>
      <c r="F500" s="26"/>
      <c r="G500" s="26"/>
      <c r="H500" s="26"/>
      <c r="I500" s="26"/>
    </row>
    <row r="501" spans="5:9" x14ac:dyDescent="0.25">
      <c r="E501" s="26"/>
      <c r="F501" s="26"/>
      <c r="G501" s="26"/>
      <c r="H501" s="26"/>
      <c r="I501" s="26"/>
    </row>
    <row r="502" spans="5:9" x14ac:dyDescent="0.25">
      <c r="E502" s="26"/>
      <c r="F502" s="26"/>
      <c r="G502" s="26"/>
      <c r="H502" s="26"/>
      <c r="I502" s="26"/>
    </row>
    <row r="503" spans="5:9" x14ac:dyDescent="0.25">
      <c r="E503" s="26"/>
      <c r="F503" s="26"/>
      <c r="G503" s="26"/>
      <c r="H503" s="26"/>
      <c r="I503" s="26"/>
    </row>
    <row r="504" spans="5:9" x14ac:dyDescent="0.25">
      <c r="E504" s="26"/>
      <c r="F504" s="26"/>
      <c r="G504" s="26"/>
      <c r="H504" s="26"/>
      <c r="I504" s="26"/>
    </row>
    <row r="505" spans="5:9" x14ac:dyDescent="0.25">
      <c r="E505" s="26"/>
      <c r="F505" s="26"/>
      <c r="G505" s="26"/>
      <c r="H505" s="26"/>
      <c r="I505" s="26"/>
    </row>
    <row r="506" spans="5:9" x14ac:dyDescent="0.25">
      <c r="E506" s="26"/>
      <c r="F506" s="26"/>
      <c r="G506" s="26"/>
      <c r="H506" s="26"/>
      <c r="I506" s="26"/>
    </row>
    <row r="507" spans="5:9" x14ac:dyDescent="0.25">
      <c r="E507" s="26"/>
      <c r="F507" s="26"/>
      <c r="G507" s="26"/>
      <c r="H507" s="26"/>
      <c r="I507" s="26"/>
    </row>
    <row r="508" spans="5:9" x14ac:dyDescent="0.25">
      <c r="E508" s="26"/>
      <c r="F508" s="26"/>
      <c r="G508" s="26"/>
      <c r="H508" s="26"/>
      <c r="I508" s="26"/>
    </row>
    <row r="509" spans="5:9" x14ac:dyDescent="0.25">
      <c r="E509" s="26"/>
      <c r="F509" s="26"/>
      <c r="G509" s="26"/>
      <c r="H509" s="26"/>
      <c r="I509" s="26"/>
    </row>
    <row r="510" spans="5:9" x14ac:dyDescent="0.25">
      <c r="E510" s="26"/>
      <c r="F510" s="26"/>
      <c r="G510" s="26"/>
      <c r="H510" s="26"/>
      <c r="I510" s="26"/>
    </row>
    <row r="511" spans="5:9" x14ac:dyDescent="0.25">
      <c r="E511" s="26"/>
      <c r="F511" s="26"/>
      <c r="G511" s="26"/>
      <c r="H511" s="26"/>
      <c r="I511" s="26"/>
    </row>
    <row r="512" spans="5:9" x14ac:dyDescent="0.25">
      <c r="E512" s="26"/>
      <c r="F512" s="26"/>
      <c r="G512" s="26"/>
      <c r="H512" s="26"/>
      <c r="I512" s="26"/>
    </row>
    <row r="513" spans="5:9" x14ac:dyDescent="0.25">
      <c r="E513" s="26"/>
      <c r="F513" s="26"/>
      <c r="G513" s="26"/>
      <c r="H513" s="26"/>
      <c r="I513" s="26"/>
    </row>
    <row r="514" spans="5:9" x14ac:dyDescent="0.25">
      <c r="E514" s="26"/>
      <c r="F514" s="26"/>
      <c r="G514" s="26"/>
      <c r="H514" s="26"/>
      <c r="I514" s="26"/>
    </row>
    <row r="515" spans="5:9" x14ac:dyDescent="0.25">
      <c r="E515" s="26"/>
      <c r="F515" s="26"/>
      <c r="G515" s="26"/>
      <c r="H515" s="26"/>
      <c r="I515" s="26"/>
    </row>
    <row r="516" spans="5:9" x14ac:dyDescent="0.25">
      <c r="E516" s="26"/>
      <c r="F516" s="26"/>
      <c r="G516" s="26"/>
      <c r="H516" s="26"/>
      <c r="I516" s="26"/>
    </row>
    <row r="517" spans="5:9" x14ac:dyDescent="0.25">
      <c r="E517" s="26"/>
      <c r="F517" s="26"/>
      <c r="G517" s="26"/>
      <c r="H517" s="26"/>
      <c r="I517" s="26"/>
    </row>
    <row r="518" spans="5:9" x14ac:dyDescent="0.25">
      <c r="E518" s="26"/>
      <c r="F518" s="26"/>
      <c r="G518" s="26"/>
      <c r="H518" s="26"/>
      <c r="I518" s="26"/>
    </row>
    <row r="519" spans="5:9" x14ac:dyDescent="0.25">
      <c r="E519" s="26"/>
      <c r="F519" s="26"/>
      <c r="G519" s="26"/>
      <c r="H519" s="26"/>
      <c r="I519" s="26"/>
    </row>
    <row r="520" spans="5:9" x14ac:dyDescent="0.25">
      <c r="E520" s="26"/>
      <c r="F520" s="26"/>
      <c r="G520" s="26"/>
      <c r="H520" s="26"/>
      <c r="I520" s="26"/>
    </row>
    <row r="521" spans="5:9" x14ac:dyDescent="0.25">
      <c r="E521" s="26"/>
      <c r="F521" s="26"/>
      <c r="G521" s="26"/>
      <c r="H521" s="26"/>
      <c r="I521" s="26"/>
    </row>
    <row r="522" spans="5:9" x14ac:dyDescent="0.25">
      <c r="E522" s="26"/>
      <c r="F522" s="26"/>
      <c r="G522" s="26"/>
      <c r="H522" s="26"/>
      <c r="I522" s="26"/>
    </row>
    <row r="523" spans="5:9" x14ac:dyDescent="0.25">
      <c r="E523" s="26"/>
      <c r="F523" s="26"/>
      <c r="G523" s="26"/>
      <c r="H523" s="26"/>
      <c r="I523" s="26"/>
    </row>
    <row r="524" spans="5:9" x14ac:dyDescent="0.25">
      <c r="E524" s="26"/>
      <c r="F524" s="26"/>
      <c r="G524" s="26"/>
      <c r="H524" s="26"/>
      <c r="I524" s="26"/>
    </row>
    <row r="525" spans="5:9" x14ac:dyDescent="0.25">
      <c r="E525" s="26"/>
      <c r="F525" s="26"/>
      <c r="G525" s="26"/>
      <c r="H525" s="26"/>
      <c r="I525" s="26"/>
    </row>
    <row r="526" spans="5:9" x14ac:dyDescent="0.25">
      <c r="E526" s="26"/>
      <c r="F526" s="26"/>
      <c r="G526" s="26"/>
      <c r="H526" s="26"/>
      <c r="I526" s="26"/>
    </row>
    <row r="527" spans="5:9" x14ac:dyDescent="0.25">
      <c r="E527" s="26"/>
      <c r="F527" s="26"/>
      <c r="G527" s="26"/>
      <c r="H527" s="26"/>
      <c r="I527" s="26"/>
    </row>
    <row r="528" spans="5:9" x14ac:dyDescent="0.25">
      <c r="E528" s="26"/>
      <c r="F528" s="26"/>
      <c r="G528" s="26"/>
      <c r="H528" s="26"/>
      <c r="I528" s="26"/>
    </row>
    <row r="529" spans="5:9" x14ac:dyDescent="0.25">
      <c r="E529" s="26"/>
      <c r="F529" s="26"/>
      <c r="G529" s="26"/>
      <c r="H529" s="26"/>
      <c r="I529" s="26"/>
    </row>
    <row r="530" spans="5:9" x14ac:dyDescent="0.25">
      <c r="E530" s="26"/>
      <c r="F530" s="26"/>
      <c r="G530" s="26"/>
      <c r="H530" s="26"/>
      <c r="I530" s="26"/>
    </row>
    <row r="531" spans="5:9" x14ac:dyDescent="0.25">
      <c r="E531" s="26"/>
      <c r="F531" s="26"/>
      <c r="G531" s="26"/>
      <c r="H531" s="26"/>
      <c r="I531" s="26"/>
    </row>
    <row r="532" spans="5:9" x14ac:dyDescent="0.25">
      <c r="E532" s="26"/>
      <c r="F532" s="26"/>
      <c r="G532" s="26"/>
      <c r="H532" s="26"/>
      <c r="I532" s="26"/>
    </row>
    <row r="533" spans="5:9" x14ac:dyDescent="0.25">
      <c r="E533" s="26"/>
      <c r="F533" s="26"/>
      <c r="G533" s="26"/>
      <c r="H533" s="26"/>
      <c r="I533" s="26"/>
    </row>
    <row r="534" spans="5:9" x14ac:dyDescent="0.25">
      <c r="E534" s="26"/>
      <c r="F534" s="26"/>
      <c r="G534" s="26"/>
      <c r="H534" s="26"/>
      <c r="I534" s="26"/>
    </row>
    <row r="535" spans="5:9" x14ac:dyDescent="0.25">
      <c r="E535" s="26"/>
      <c r="F535" s="26"/>
      <c r="G535" s="26"/>
      <c r="H535" s="26"/>
      <c r="I535" s="26"/>
    </row>
    <row r="536" spans="5:9" x14ac:dyDescent="0.25">
      <c r="E536" s="26"/>
      <c r="F536" s="26"/>
      <c r="G536" s="26"/>
      <c r="H536" s="26"/>
      <c r="I536" s="26"/>
    </row>
    <row r="537" spans="5:9" x14ac:dyDescent="0.25">
      <c r="E537" s="26"/>
      <c r="F537" s="26"/>
      <c r="G537" s="26"/>
      <c r="H537" s="26"/>
      <c r="I537" s="26"/>
    </row>
    <row r="538" spans="5:9" x14ac:dyDescent="0.25">
      <c r="E538" s="26"/>
      <c r="F538" s="26"/>
      <c r="G538" s="26"/>
      <c r="H538" s="26"/>
      <c r="I538" s="26"/>
    </row>
    <row r="539" spans="5:9" x14ac:dyDescent="0.25">
      <c r="E539" s="26"/>
      <c r="F539" s="26"/>
      <c r="G539" s="26"/>
      <c r="H539" s="26"/>
      <c r="I539" s="26"/>
    </row>
    <row r="540" spans="5:9" x14ac:dyDescent="0.25">
      <c r="E540" s="26"/>
      <c r="F540" s="26"/>
      <c r="G540" s="26"/>
      <c r="H540" s="26"/>
      <c r="I540" s="26"/>
    </row>
    <row r="541" spans="5:9" x14ac:dyDescent="0.25">
      <c r="E541" s="26"/>
      <c r="F541" s="26"/>
      <c r="G541" s="26"/>
      <c r="H541" s="26"/>
      <c r="I541" s="26"/>
    </row>
    <row r="542" spans="5:9" x14ac:dyDescent="0.25">
      <c r="E542" s="26"/>
      <c r="F542" s="26"/>
      <c r="G542" s="26"/>
      <c r="H542" s="26"/>
      <c r="I542" s="26"/>
    </row>
    <row r="543" spans="5:9" x14ac:dyDescent="0.25">
      <c r="E543" s="26"/>
      <c r="F543" s="26"/>
      <c r="G543" s="26"/>
      <c r="H543" s="26"/>
      <c r="I543" s="26"/>
    </row>
    <row r="544" spans="5:9" x14ac:dyDescent="0.25">
      <c r="E544" s="26"/>
      <c r="F544" s="26"/>
      <c r="G544" s="26"/>
      <c r="H544" s="26"/>
      <c r="I544" s="26"/>
    </row>
    <row r="545" spans="5:9" x14ac:dyDescent="0.25">
      <c r="E545" s="26"/>
      <c r="F545" s="26"/>
      <c r="G545" s="26"/>
      <c r="H545" s="26"/>
      <c r="I545" s="26"/>
    </row>
    <row r="546" spans="5:9" x14ac:dyDescent="0.25">
      <c r="E546" s="26"/>
      <c r="F546" s="26"/>
      <c r="G546" s="26"/>
      <c r="H546" s="26"/>
      <c r="I546" s="26"/>
    </row>
    <row r="547" spans="5:9" x14ac:dyDescent="0.25">
      <c r="E547" s="26"/>
      <c r="F547" s="26"/>
      <c r="G547" s="26"/>
      <c r="H547" s="26"/>
      <c r="I547" s="26"/>
    </row>
    <row r="548" spans="5:9" x14ac:dyDescent="0.25">
      <c r="E548" s="26"/>
      <c r="F548" s="26"/>
      <c r="G548" s="26"/>
      <c r="H548" s="26"/>
      <c r="I548" s="26"/>
    </row>
    <row r="549" spans="5:9" x14ac:dyDescent="0.25">
      <c r="E549" s="26"/>
      <c r="F549" s="26"/>
      <c r="G549" s="26"/>
      <c r="H549" s="26"/>
      <c r="I549" s="26"/>
    </row>
    <row r="550" spans="5:9" x14ac:dyDescent="0.25">
      <c r="E550" s="26"/>
      <c r="F550" s="26"/>
      <c r="G550" s="26"/>
      <c r="H550" s="26"/>
      <c r="I550" s="26"/>
    </row>
    <row r="551" spans="5:9" x14ac:dyDescent="0.25">
      <c r="E551" s="26"/>
      <c r="F551" s="26"/>
      <c r="G551" s="26"/>
      <c r="H551" s="26"/>
      <c r="I551" s="26"/>
    </row>
    <row r="552" spans="5:9" x14ac:dyDescent="0.25">
      <c r="E552" s="26"/>
      <c r="F552" s="26"/>
      <c r="G552" s="26"/>
      <c r="H552" s="26"/>
      <c r="I552" s="26"/>
    </row>
    <row r="553" spans="5:9" x14ac:dyDescent="0.25">
      <c r="E553" s="26"/>
      <c r="F553" s="26"/>
      <c r="G553" s="26"/>
      <c r="H553" s="26"/>
      <c r="I553" s="26"/>
    </row>
    <row r="554" spans="5:9" x14ac:dyDescent="0.25">
      <c r="E554" s="26"/>
      <c r="F554" s="26"/>
      <c r="G554" s="26"/>
      <c r="H554" s="26"/>
      <c r="I554" s="26"/>
    </row>
    <row r="555" spans="5:9" x14ac:dyDescent="0.25">
      <c r="E555" s="26"/>
      <c r="F555" s="26"/>
      <c r="G555" s="26"/>
      <c r="H555" s="26"/>
      <c r="I555" s="26"/>
    </row>
    <row r="556" spans="5:9" x14ac:dyDescent="0.25">
      <c r="E556" s="26"/>
      <c r="F556" s="26"/>
      <c r="G556" s="26"/>
      <c r="H556" s="26"/>
      <c r="I556" s="26"/>
    </row>
    <row r="557" spans="5:9" x14ac:dyDescent="0.25">
      <c r="E557" s="26"/>
      <c r="F557" s="26"/>
      <c r="G557" s="26"/>
      <c r="H557" s="26"/>
      <c r="I557" s="26"/>
    </row>
    <row r="558" spans="5:9" x14ac:dyDescent="0.25">
      <c r="E558" s="26"/>
      <c r="F558" s="26"/>
      <c r="G558" s="26"/>
      <c r="H558" s="26"/>
      <c r="I558" s="26"/>
    </row>
    <row r="559" spans="5:9" x14ac:dyDescent="0.25">
      <c r="E559" s="26"/>
      <c r="F559" s="26"/>
      <c r="G559" s="26"/>
      <c r="H559" s="26"/>
      <c r="I559" s="26"/>
    </row>
    <row r="560" spans="5:9" x14ac:dyDescent="0.25">
      <c r="E560" s="26"/>
      <c r="F560" s="26"/>
      <c r="G560" s="26"/>
      <c r="H560" s="26"/>
      <c r="I560" s="26"/>
    </row>
    <row r="561" spans="5:9" x14ac:dyDescent="0.25">
      <c r="E561" s="26"/>
      <c r="F561" s="26"/>
      <c r="G561" s="26"/>
      <c r="H561" s="26"/>
      <c r="I561" s="26"/>
    </row>
    <row r="562" spans="5:9" x14ac:dyDescent="0.25">
      <c r="E562" s="26"/>
      <c r="F562" s="26"/>
      <c r="G562" s="26"/>
      <c r="H562" s="26"/>
      <c r="I562" s="26"/>
    </row>
    <row r="563" spans="5:9" x14ac:dyDescent="0.25">
      <c r="E563" s="26"/>
      <c r="F563" s="26"/>
      <c r="G563" s="26"/>
      <c r="H563" s="26"/>
      <c r="I563" s="26"/>
    </row>
    <row r="564" spans="5:9" x14ac:dyDescent="0.25">
      <c r="E564" s="26"/>
      <c r="F564" s="26"/>
      <c r="G564" s="26"/>
      <c r="H564" s="26"/>
      <c r="I564" s="26"/>
    </row>
    <row r="565" spans="5:9" x14ac:dyDescent="0.25">
      <c r="E565" s="26"/>
      <c r="F565" s="26"/>
      <c r="G565" s="26"/>
      <c r="H565" s="26"/>
      <c r="I565" s="26"/>
    </row>
    <row r="566" spans="5:9" x14ac:dyDescent="0.25">
      <c r="E566" s="26"/>
      <c r="F566" s="26"/>
      <c r="G566" s="26"/>
      <c r="H566" s="26"/>
      <c r="I566" s="26"/>
    </row>
    <row r="567" spans="5:9" x14ac:dyDescent="0.25">
      <c r="E567" s="26"/>
      <c r="F567" s="26"/>
      <c r="G567" s="26"/>
      <c r="H567" s="26"/>
      <c r="I567" s="26"/>
    </row>
    <row r="568" spans="5:9" x14ac:dyDescent="0.25">
      <c r="E568" s="26"/>
      <c r="F568" s="26"/>
      <c r="G568" s="26"/>
      <c r="H568" s="26"/>
      <c r="I568" s="26"/>
    </row>
    <row r="569" spans="5:9" x14ac:dyDescent="0.25">
      <c r="E569" s="26"/>
      <c r="F569" s="26"/>
      <c r="G569" s="26"/>
      <c r="H569" s="26"/>
      <c r="I569" s="26"/>
    </row>
    <row r="570" spans="5:9" x14ac:dyDescent="0.25">
      <c r="E570" s="26"/>
      <c r="F570" s="26"/>
      <c r="G570" s="26"/>
      <c r="H570" s="26"/>
      <c r="I570" s="26"/>
    </row>
    <row r="571" spans="5:9" x14ac:dyDescent="0.25">
      <c r="E571" s="26"/>
      <c r="F571" s="26"/>
      <c r="G571" s="26"/>
      <c r="H571" s="26"/>
      <c r="I571" s="26"/>
    </row>
    <row r="572" spans="5:9" x14ac:dyDescent="0.25">
      <c r="E572" s="26"/>
      <c r="F572" s="26"/>
      <c r="G572" s="26"/>
      <c r="H572" s="26"/>
      <c r="I572" s="26"/>
    </row>
    <row r="573" spans="5:9" x14ac:dyDescent="0.25">
      <c r="E573" s="26"/>
      <c r="F573" s="26"/>
      <c r="G573" s="26"/>
      <c r="H573" s="26"/>
      <c r="I573" s="26"/>
    </row>
    <row r="574" spans="5:9" x14ac:dyDescent="0.25">
      <c r="E574" s="26"/>
      <c r="F574" s="26"/>
      <c r="G574" s="26"/>
      <c r="H574" s="26"/>
      <c r="I574" s="26"/>
    </row>
    <row r="575" spans="5:9" x14ac:dyDescent="0.25">
      <c r="E575" s="26"/>
      <c r="F575" s="26"/>
      <c r="G575" s="26"/>
      <c r="H575" s="26"/>
      <c r="I575" s="26"/>
    </row>
    <row r="576" spans="5:9" x14ac:dyDescent="0.25">
      <c r="E576" s="26"/>
      <c r="F576" s="26"/>
      <c r="G576" s="26"/>
      <c r="H576" s="26"/>
      <c r="I576" s="26"/>
    </row>
    <row r="577" spans="5:9" x14ac:dyDescent="0.25">
      <c r="E577" s="26"/>
      <c r="F577" s="26"/>
      <c r="G577" s="26"/>
      <c r="H577" s="26"/>
      <c r="I577" s="26"/>
    </row>
    <row r="578" spans="5:9" x14ac:dyDescent="0.25">
      <c r="E578" s="26"/>
      <c r="F578" s="26"/>
      <c r="G578" s="26"/>
      <c r="H578" s="26"/>
      <c r="I578" s="26"/>
    </row>
    <row r="579" spans="5:9" x14ac:dyDescent="0.25">
      <c r="E579" s="26"/>
      <c r="F579" s="26"/>
      <c r="G579" s="26"/>
      <c r="H579" s="26"/>
      <c r="I579" s="26"/>
    </row>
    <row r="580" spans="5:9" x14ac:dyDescent="0.25">
      <c r="E580" s="26"/>
      <c r="F580" s="26"/>
      <c r="G580" s="26"/>
      <c r="H580" s="26"/>
      <c r="I580" s="26"/>
    </row>
    <row r="581" spans="5:9" x14ac:dyDescent="0.25">
      <c r="E581" s="26"/>
      <c r="F581" s="26"/>
      <c r="G581" s="26"/>
      <c r="H581" s="26"/>
      <c r="I581" s="26"/>
    </row>
    <row r="582" spans="5:9" x14ac:dyDescent="0.25">
      <c r="E582" s="26"/>
      <c r="F582" s="26"/>
      <c r="G582" s="26"/>
      <c r="H582" s="26"/>
      <c r="I582" s="26"/>
    </row>
    <row r="583" spans="5:9" x14ac:dyDescent="0.25">
      <c r="E583" s="26"/>
      <c r="F583" s="26"/>
      <c r="G583" s="26"/>
      <c r="H583" s="26"/>
      <c r="I583" s="26"/>
    </row>
    <row r="584" spans="5:9" x14ac:dyDescent="0.25">
      <c r="E584" s="26"/>
      <c r="F584" s="26"/>
      <c r="G584" s="26"/>
      <c r="H584" s="26"/>
      <c r="I584" s="26"/>
    </row>
    <row r="585" spans="5:9" x14ac:dyDescent="0.25">
      <c r="E585" s="26"/>
      <c r="F585" s="26"/>
      <c r="G585" s="26"/>
      <c r="H585" s="26"/>
      <c r="I585" s="26"/>
    </row>
    <row r="586" spans="5:9" x14ac:dyDescent="0.25">
      <c r="E586" s="26"/>
      <c r="F586" s="26"/>
      <c r="G586" s="26"/>
      <c r="H586" s="26"/>
      <c r="I586" s="26"/>
    </row>
    <row r="587" spans="5:9" x14ac:dyDescent="0.25">
      <c r="E587" s="26"/>
      <c r="F587" s="26"/>
      <c r="G587" s="26"/>
      <c r="H587" s="26"/>
      <c r="I587" s="26"/>
    </row>
    <row r="588" spans="5:9" x14ac:dyDescent="0.25">
      <c r="E588" s="26"/>
      <c r="F588" s="26"/>
      <c r="G588" s="26"/>
      <c r="H588" s="26"/>
      <c r="I588" s="26"/>
    </row>
    <row r="589" spans="5:9" x14ac:dyDescent="0.25">
      <c r="E589" s="26"/>
      <c r="F589" s="26"/>
      <c r="G589" s="26"/>
      <c r="H589" s="26"/>
      <c r="I589" s="26"/>
    </row>
    <row r="590" spans="5:9" x14ac:dyDescent="0.25">
      <c r="E590" s="26"/>
      <c r="F590" s="26"/>
      <c r="G590" s="26"/>
      <c r="H590" s="26"/>
      <c r="I590" s="26"/>
    </row>
    <row r="591" spans="5:9" x14ac:dyDescent="0.25">
      <c r="E591" s="26"/>
      <c r="F591" s="26"/>
      <c r="G591" s="26"/>
      <c r="H591" s="26"/>
      <c r="I591" s="26"/>
    </row>
    <row r="592" spans="5:9" x14ac:dyDescent="0.25">
      <c r="E592" s="26"/>
      <c r="F592" s="26"/>
      <c r="G592" s="26"/>
      <c r="H592" s="26"/>
      <c r="I592" s="26"/>
    </row>
    <row r="593" spans="5:9" x14ac:dyDescent="0.25">
      <c r="E593" s="26"/>
      <c r="F593" s="26"/>
      <c r="G593" s="26"/>
      <c r="H593" s="26"/>
      <c r="I593" s="26"/>
    </row>
    <row r="594" spans="5:9" x14ac:dyDescent="0.25">
      <c r="E594" s="26"/>
      <c r="F594" s="26"/>
      <c r="G594" s="26"/>
      <c r="H594" s="26"/>
      <c r="I594" s="26"/>
    </row>
    <row r="595" spans="5:9" x14ac:dyDescent="0.25">
      <c r="E595" s="26"/>
      <c r="F595" s="26"/>
      <c r="G595" s="26"/>
      <c r="H595" s="26"/>
      <c r="I595" s="26"/>
    </row>
    <row r="596" spans="5:9" x14ac:dyDescent="0.25">
      <c r="E596" s="26"/>
      <c r="F596" s="26"/>
      <c r="G596" s="26"/>
      <c r="H596" s="26"/>
      <c r="I596" s="26"/>
    </row>
    <row r="597" spans="5:9" x14ac:dyDescent="0.25">
      <c r="E597" s="26"/>
      <c r="F597" s="26"/>
      <c r="G597" s="26"/>
      <c r="H597" s="26"/>
      <c r="I597" s="26"/>
    </row>
    <row r="598" spans="5:9" x14ac:dyDescent="0.25">
      <c r="E598" s="26"/>
      <c r="F598" s="26"/>
      <c r="G598" s="26"/>
      <c r="H598" s="26"/>
      <c r="I598" s="26"/>
    </row>
    <row r="599" spans="5:9" x14ac:dyDescent="0.25">
      <c r="E599" s="26"/>
      <c r="F599" s="26"/>
      <c r="G599" s="26"/>
      <c r="H599" s="26"/>
      <c r="I599" s="26"/>
    </row>
    <row r="600" spans="5:9" x14ac:dyDescent="0.25">
      <c r="E600" s="26"/>
      <c r="F600" s="26"/>
      <c r="G600" s="26"/>
      <c r="H600" s="26"/>
      <c r="I600" s="26"/>
    </row>
    <row r="601" spans="5:9" x14ac:dyDescent="0.25">
      <c r="E601" s="26"/>
      <c r="F601" s="26"/>
      <c r="G601" s="26"/>
      <c r="H601" s="26"/>
      <c r="I601" s="26"/>
    </row>
    <row r="602" spans="5:9" x14ac:dyDescent="0.25">
      <c r="E602" s="26"/>
      <c r="F602" s="26"/>
      <c r="G602" s="26"/>
      <c r="H602" s="26"/>
      <c r="I602" s="26"/>
    </row>
    <row r="603" spans="5:9" x14ac:dyDescent="0.25">
      <c r="E603" s="26"/>
      <c r="F603" s="26"/>
      <c r="G603" s="26"/>
      <c r="H603" s="26"/>
      <c r="I603" s="26"/>
    </row>
    <row r="604" spans="5:9" x14ac:dyDescent="0.25">
      <c r="E604" s="26"/>
      <c r="F604" s="26"/>
      <c r="G604" s="26"/>
      <c r="H604" s="26"/>
      <c r="I604" s="26"/>
    </row>
    <row r="605" spans="5:9" x14ac:dyDescent="0.25">
      <c r="E605" s="26"/>
      <c r="F605" s="26"/>
      <c r="G605" s="26"/>
      <c r="H605" s="26"/>
      <c r="I605" s="26"/>
    </row>
    <row r="606" spans="5:9" x14ac:dyDescent="0.25">
      <c r="E606" s="26"/>
      <c r="F606" s="26"/>
      <c r="G606" s="26"/>
      <c r="H606" s="26"/>
      <c r="I606" s="26"/>
    </row>
    <row r="607" spans="5:9" x14ac:dyDescent="0.25">
      <c r="E607" s="26"/>
      <c r="F607" s="26"/>
      <c r="G607" s="26"/>
      <c r="H607" s="26"/>
      <c r="I607" s="26"/>
    </row>
    <row r="608" spans="5:9" x14ac:dyDescent="0.25">
      <c r="E608" s="26"/>
      <c r="F608" s="26"/>
      <c r="G608" s="26"/>
      <c r="H608" s="26"/>
      <c r="I608" s="26"/>
    </row>
    <row r="609" spans="5:9" x14ac:dyDescent="0.25">
      <c r="E609" s="26"/>
      <c r="F609" s="26"/>
      <c r="G609" s="26"/>
      <c r="H609" s="26"/>
      <c r="I609" s="26"/>
    </row>
    <row r="610" spans="5:9" x14ac:dyDescent="0.25">
      <c r="E610" s="26"/>
      <c r="F610" s="26"/>
      <c r="G610" s="26"/>
      <c r="H610" s="26"/>
      <c r="I610" s="26"/>
    </row>
    <row r="611" spans="5:9" x14ac:dyDescent="0.25">
      <c r="E611" s="26"/>
      <c r="F611" s="26"/>
      <c r="G611" s="26"/>
      <c r="H611" s="26"/>
      <c r="I611" s="26"/>
    </row>
    <row r="612" spans="5:9" x14ac:dyDescent="0.25">
      <c r="E612" s="26"/>
      <c r="F612" s="26"/>
      <c r="G612" s="26"/>
      <c r="H612" s="26"/>
      <c r="I612" s="26"/>
    </row>
    <row r="613" spans="5:9" x14ac:dyDescent="0.25">
      <c r="E613" s="26"/>
      <c r="F613" s="26"/>
      <c r="G613" s="26"/>
      <c r="H613" s="26"/>
      <c r="I613" s="26"/>
    </row>
    <row r="614" spans="5:9" x14ac:dyDescent="0.25">
      <c r="E614" s="26"/>
      <c r="F614" s="26"/>
      <c r="G614" s="26"/>
      <c r="H614" s="26"/>
      <c r="I614" s="26"/>
    </row>
    <row r="615" spans="5:9" x14ac:dyDescent="0.25">
      <c r="E615" s="26"/>
      <c r="F615" s="26"/>
      <c r="G615" s="26"/>
      <c r="H615" s="26"/>
      <c r="I615" s="26"/>
    </row>
    <row r="616" spans="5:9" x14ac:dyDescent="0.25">
      <c r="E616" s="26"/>
      <c r="F616" s="26"/>
      <c r="G616" s="26"/>
      <c r="H616" s="26"/>
      <c r="I616" s="26"/>
    </row>
    <row r="617" spans="5:9" x14ac:dyDescent="0.25">
      <c r="E617" s="26"/>
      <c r="F617" s="26"/>
      <c r="G617" s="26"/>
      <c r="H617" s="26"/>
      <c r="I617" s="26"/>
    </row>
    <row r="618" spans="5:9" x14ac:dyDescent="0.25">
      <c r="E618" s="26"/>
      <c r="F618" s="26"/>
      <c r="G618" s="26"/>
      <c r="H618" s="26"/>
      <c r="I618" s="26"/>
    </row>
    <row r="619" spans="5:9" x14ac:dyDescent="0.25">
      <c r="E619" s="26"/>
      <c r="F619" s="26"/>
      <c r="G619" s="26"/>
      <c r="H619" s="26"/>
      <c r="I619" s="26"/>
    </row>
    <row r="620" spans="5:9" x14ac:dyDescent="0.25">
      <c r="E620" s="26"/>
      <c r="F620" s="26"/>
      <c r="G620" s="26"/>
      <c r="H620" s="26"/>
      <c r="I620" s="26"/>
    </row>
    <row r="621" spans="5:9" x14ac:dyDescent="0.25">
      <c r="E621" s="26"/>
      <c r="F621" s="26"/>
      <c r="G621" s="26"/>
      <c r="H621" s="26"/>
      <c r="I621" s="26"/>
    </row>
    <row r="622" spans="5:9" x14ac:dyDescent="0.25">
      <c r="E622" s="26"/>
      <c r="F622" s="26"/>
      <c r="G622" s="26"/>
      <c r="H622" s="26"/>
      <c r="I622" s="26"/>
    </row>
    <row r="623" spans="5:9" x14ac:dyDescent="0.25">
      <c r="E623" s="26"/>
      <c r="F623" s="26"/>
      <c r="G623" s="26"/>
      <c r="H623" s="26"/>
      <c r="I623" s="26"/>
    </row>
    <row r="624" spans="5:9" x14ac:dyDescent="0.25">
      <c r="E624" s="26"/>
      <c r="F624" s="26"/>
      <c r="G624" s="26"/>
      <c r="H624" s="26"/>
      <c r="I624" s="26"/>
    </row>
    <row r="625" spans="5:9" x14ac:dyDescent="0.25">
      <c r="E625" s="26"/>
      <c r="F625" s="26"/>
      <c r="G625" s="26"/>
      <c r="H625" s="26"/>
      <c r="I625" s="26"/>
    </row>
    <row r="626" spans="5:9" x14ac:dyDescent="0.25">
      <c r="E626" s="26"/>
      <c r="F626" s="26"/>
      <c r="G626" s="26"/>
      <c r="H626" s="26"/>
      <c r="I626" s="26"/>
    </row>
    <row r="627" spans="5:9" x14ac:dyDescent="0.25">
      <c r="E627" s="26"/>
      <c r="F627" s="26"/>
      <c r="G627" s="26"/>
      <c r="H627" s="26"/>
      <c r="I627" s="26"/>
    </row>
    <row r="628" spans="5:9" x14ac:dyDescent="0.25">
      <c r="E628" s="26"/>
      <c r="F628" s="26"/>
      <c r="G628" s="26"/>
      <c r="H628" s="26"/>
      <c r="I628" s="26"/>
    </row>
    <row r="629" spans="5:9" x14ac:dyDescent="0.25">
      <c r="E629" s="26"/>
      <c r="F629" s="26"/>
      <c r="G629" s="26"/>
      <c r="H629" s="26"/>
      <c r="I629" s="26"/>
    </row>
    <row r="630" spans="5:9" x14ac:dyDescent="0.25">
      <c r="E630" s="26"/>
      <c r="F630" s="26"/>
      <c r="G630" s="26"/>
      <c r="H630" s="26"/>
      <c r="I630" s="26"/>
    </row>
    <row r="631" spans="5:9" x14ac:dyDescent="0.25">
      <c r="E631" s="26"/>
      <c r="F631" s="26"/>
      <c r="G631" s="26"/>
      <c r="H631" s="26"/>
      <c r="I631" s="26"/>
    </row>
    <row r="632" spans="5:9" x14ac:dyDescent="0.25">
      <c r="E632" s="26"/>
      <c r="F632" s="26"/>
      <c r="G632" s="26"/>
      <c r="H632" s="26"/>
      <c r="I632" s="26"/>
    </row>
    <row r="633" spans="5:9" x14ac:dyDescent="0.25">
      <c r="E633" s="26"/>
      <c r="F633" s="26"/>
      <c r="G633" s="26"/>
      <c r="H633" s="26"/>
      <c r="I633" s="26"/>
    </row>
    <row r="634" spans="5:9" x14ac:dyDescent="0.25">
      <c r="E634" s="26"/>
      <c r="F634" s="26"/>
      <c r="G634" s="26"/>
      <c r="H634" s="26"/>
      <c r="I634" s="26"/>
    </row>
    <row r="635" spans="5:9" x14ac:dyDescent="0.25">
      <c r="E635" s="26"/>
      <c r="F635" s="26"/>
      <c r="G635" s="26"/>
      <c r="H635" s="26"/>
      <c r="I635" s="26"/>
    </row>
    <row r="636" spans="5:9" x14ac:dyDescent="0.25">
      <c r="E636" s="26"/>
      <c r="F636" s="26"/>
      <c r="G636" s="26"/>
      <c r="H636" s="26"/>
      <c r="I636" s="26"/>
    </row>
    <row r="637" spans="5:9" x14ac:dyDescent="0.25">
      <c r="E637" s="26"/>
      <c r="F637" s="26"/>
      <c r="G637" s="26"/>
      <c r="H637" s="26"/>
      <c r="I637" s="26"/>
    </row>
    <row r="638" spans="5:9" x14ac:dyDescent="0.25">
      <c r="E638" s="26"/>
      <c r="F638" s="26"/>
      <c r="G638" s="26"/>
      <c r="H638" s="26"/>
      <c r="I638" s="26"/>
    </row>
    <row r="639" spans="5:9" x14ac:dyDescent="0.25">
      <c r="E639" s="26"/>
      <c r="F639" s="26"/>
      <c r="G639" s="26"/>
      <c r="H639" s="26"/>
      <c r="I639" s="26"/>
    </row>
    <row r="640" spans="5:9" x14ac:dyDescent="0.25">
      <c r="E640" s="26"/>
      <c r="F640" s="26"/>
      <c r="G640" s="26"/>
      <c r="H640" s="26"/>
      <c r="I640" s="26"/>
    </row>
    <row r="641" spans="5:9" x14ac:dyDescent="0.25">
      <c r="E641" s="26"/>
      <c r="F641" s="26"/>
      <c r="G641" s="26"/>
      <c r="H641" s="26"/>
      <c r="I641" s="26"/>
    </row>
    <row r="642" spans="5:9" x14ac:dyDescent="0.25">
      <c r="E642" s="26"/>
      <c r="F642" s="26"/>
      <c r="G642" s="26"/>
      <c r="H642" s="26"/>
      <c r="I642" s="26"/>
    </row>
    <row r="643" spans="5:9" x14ac:dyDescent="0.25">
      <c r="E643" s="26"/>
      <c r="F643" s="26"/>
      <c r="G643" s="26"/>
      <c r="H643" s="26"/>
      <c r="I643" s="26"/>
    </row>
    <row r="644" spans="5:9" x14ac:dyDescent="0.25">
      <c r="E644" s="26"/>
      <c r="F644" s="26"/>
      <c r="G644" s="26"/>
      <c r="H644" s="26"/>
      <c r="I644" s="26"/>
    </row>
    <row r="645" spans="5:9" x14ac:dyDescent="0.25">
      <c r="E645" s="26"/>
      <c r="F645" s="26"/>
      <c r="G645" s="26"/>
      <c r="H645" s="26"/>
      <c r="I645" s="26"/>
    </row>
    <row r="646" spans="5:9" x14ac:dyDescent="0.25">
      <c r="E646" s="26"/>
      <c r="F646" s="26"/>
      <c r="G646" s="26"/>
      <c r="H646" s="26"/>
      <c r="I646" s="26"/>
    </row>
    <row r="647" spans="5:9" x14ac:dyDescent="0.25">
      <c r="E647" s="26"/>
      <c r="F647" s="26"/>
      <c r="G647" s="26"/>
      <c r="H647" s="26"/>
      <c r="I647" s="26"/>
    </row>
    <row r="648" spans="5:9" x14ac:dyDescent="0.25">
      <c r="E648" s="26"/>
      <c r="F648" s="26"/>
      <c r="G648" s="26"/>
      <c r="H648" s="26"/>
      <c r="I648" s="26"/>
    </row>
    <row r="649" spans="5:9" x14ac:dyDescent="0.25">
      <c r="E649" s="26"/>
      <c r="F649" s="26"/>
      <c r="G649" s="26"/>
      <c r="H649" s="26"/>
      <c r="I649" s="26"/>
    </row>
    <row r="650" spans="5:9" x14ac:dyDescent="0.25">
      <c r="E650" s="26"/>
      <c r="F650" s="26"/>
      <c r="G650" s="26"/>
      <c r="H650" s="26"/>
      <c r="I650" s="26"/>
    </row>
    <row r="651" spans="5:9" x14ac:dyDescent="0.25">
      <c r="E651" s="26"/>
      <c r="F651" s="26"/>
      <c r="G651" s="26"/>
      <c r="H651" s="26"/>
      <c r="I651" s="26"/>
    </row>
    <row r="652" spans="5:9" x14ac:dyDescent="0.25">
      <c r="E652" s="26"/>
      <c r="F652" s="26"/>
      <c r="G652" s="26"/>
      <c r="H652" s="26"/>
      <c r="I652" s="26"/>
    </row>
    <row r="653" spans="5:9" x14ac:dyDescent="0.25">
      <c r="E653" s="26"/>
      <c r="F653" s="26"/>
      <c r="G653" s="26"/>
      <c r="H653" s="26"/>
      <c r="I653" s="26"/>
    </row>
    <row r="654" spans="5:9" x14ac:dyDescent="0.25">
      <c r="E654" s="26"/>
      <c r="F654" s="26"/>
      <c r="G654" s="26"/>
      <c r="H654" s="26"/>
      <c r="I654" s="26"/>
    </row>
    <row r="655" spans="5:9" x14ac:dyDescent="0.25">
      <c r="E655" s="26"/>
      <c r="F655" s="26"/>
      <c r="G655" s="26"/>
      <c r="H655" s="26"/>
      <c r="I655" s="26"/>
    </row>
    <row r="656" spans="5:9" x14ac:dyDescent="0.25">
      <c r="E656" s="26"/>
      <c r="F656" s="26"/>
      <c r="G656" s="26"/>
      <c r="H656" s="26"/>
      <c r="I656" s="26"/>
    </row>
    <row r="657" spans="5:9" x14ac:dyDescent="0.25">
      <c r="E657" s="26"/>
      <c r="F657" s="26"/>
      <c r="G657" s="26"/>
      <c r="H657" s="26"/>
      <c r="I657" s="26"/>
    </row>
    <row r="658" spans="5:9" x14ac:dyDescent="0.25">
      <c r="E658" s="26"/>
      <c r="F658" s="26"/>
      <c r="G658" s="26"/>
      <c r="H658" s="26"/>
      <c r="I658" s="26"/>
    </row>
    <row r="659" spans="5:9" x14ac:dyDescent="0.25">
      <c r="E659" s="26"/>
      <c r="F659" s="26"/>
      <c r="G659" s="26"/>
      <c r="H659" s="26"/>
      <c r="I659" s="26"/>
    </row>
    <row r="660" spans="5:9" x14ac:dyDescent="0.25">
      <c r="E660" s="26"/>
      <c r="F660" s="26"/>
      <c r="G660" s="26"/>
      <c r="H660" s="26"/>
      <c r="I660" s="26"/>
    </row>
    <row r="661" spans="5:9" x14ac:dyDescent="0.25">
      <c r="E661" s="26"/>
      <c r="F661" s="26"/>
      <c r="G661" s="26"/>
      <c r="H661" s="26"/>
      <c r="I661" s="26"/>
    </row>
    <row r="662" spans="5:9" x14ac:dyDescent="0.25">
      <c r="E662" s="26"/>
      <c r="F662" s="26"/>
      <c r="G662" s="26"/>
      <c r="H662" s="26"/>
      <c r="I662" s="26"/>
    </row>
    <row r="663" spans="5:9" x14ac:dyDescent="0.25">
      <c r="E663" s="26"/>
      <c r="F663" s="26"/>
      <c r="G663" s="26"/>
      <c r="H663" s="26"/>
      <c r="I663" s="26"/>
    </row>
    <row r="664" spans="5:9" x14ac:dyDescent="0.25">
      <c r="E664" s="26"/>
      <c r="F664" s="26"/>
      <c r="G664" s="26"/>
      <c r="H664" s="26"/>
      <c r="I664" s="26"/>
    </row>
    <row r="665" spans="5:9" x14ac:dyDescent="0.25">
      <c r="E665" s="26"/>
      <c r="F665" s="26"/>
      <c r="G665" s="26"/>
      <c r="H665" s="26"/>
      <c r="I665" s="26"/>
    </row>
    <row r="666" spans="5:9" x14ac:dyDescent="0.25">
      <c r="E666" s="26"/>
      <c r="F666" s="26"/>
      <c r="G666" s="26"/>
      <c r="H666" s="26"/>
      <c r="I666" s="26"/>
    </row>
    <row r="667" spans="5:9" x14ac:dyDescent="0.25">
      <c r="E667" s="26"/>
      <c r="F667" s="26"/>
      <c r="G667" s="26"/>
      <c r="H667" s="26"/>
      <c r="I667" s="26"/>
    </row>
    <row r="668" spans="5:9" x14ac:dyDescent="0.25">
      <c r="E668" s="26"/>
      <c r="F668" s="26"/>
      <c r="G668" s="26"/>
      <c r="H668" s="26"/>
      <c r="I668" s="26"/>
    </row>
    <row r="669" spans="5:9" x14ac:dyDescent="0.25">
      <c r="E669" s="26"/>
      <c r="F669" s="26"/>
      <c r="G669" s="26"/>
      <c r="H669" s="26"/>
      <c r="I669" s="26"/>
    </row>
    <row r="670" spans="5:9" x14ac:dyDescent="0.25">
      <c r="E670" s="26"/>
      <c r="F670" s="26"/>
      <c r="G670" s="26"/>
      <c r="H670" s="26"/>
      <c r="I670" s="26"/>
    </row>
    <row r="671" spans="5:9" x14ac:dyDescent="0.25">
      <c r="E671" s="26"/>
      <c r="F671" s="26"/>
      <c r="G671" s="26"/>
      <c r="H671" s="26"/>
      <c r="I671" s="26"/>
    </row>
    <row r="672" spans="5:9" x14ac:dyDescent="0.25">
      <c r="E672" s="26"/>
      <c r="F672" s="26"/>
      <c r="G672" s="26"/>
      <c r="H672" s="26"/>
      <c r="I672" s="26"/>
    </row>
    <row r="673" spans="5:9" x14ac:dyDescent="0.25">
      <c r="E673" s="26"/>
      <c r="F673" s="26"/>
      <c r="G673" s="26"/>
      <c r="H673" s="26"/>
      <c r="I673" s="26"/>
    </row>
    <row r="674" spans="5:9" x14ac:dyDescent="0.25">
      <c r="E674" s="26"/>
      <c r="F674" s="26"/>
      <c r="G674" s="26"/>
      <c r="H674" s="26"/>
      <c r="I674" s="26"/>
    </row>
    <row r="675" spans="5:9" x14ac:dyDescent="0.25">
      <c r="E675" s="26"/>
      <c r="F675" s="26"/>
      <c r="G675" s="26"/>
      <c r="H675" s="26"/>
      <c r="I675" s="26"/>
    </row>
    <row r="676" spans="5:9" x14ac:dyDescent="0.25">
      <c r="E676" s="26"/>
      <c r="F676" s="26"/>
      <c r="G676" s="26"/>
      <c r="H676" s="26"/>
      <c r="I676" s="26"/>
    </row>
    <row r="677" spans="5:9" x14ac:dyDescent="0.25">
      <c r="E677" s="26"/>
      <c r="F677" s="26"/>
      <c r="G677" s="26"/>
      <c r="H677" s="26"/>
      <c r="I677" s="26"/>
    </row>
    <row r="678" spans="5:9" x14ac:dyDescent="0.25">
      <c r="E678" s="26"/>
      <c r="F678" s="26"/>
      <c r="G678" s="26"/>
      <c r="H678" s="26"/>
      <c r="I678" s="26"/>
    </row>
    <row r="679" spans="5:9" x14ac:dyDescent="0.25">
      <c r="E679" s="26"/>
      <c r="F679" s="26"/>
      <c r="G679" s="26"/>
      <c r="H679" s="26"/>
      <c r="I679" s="26"/>
    </row>
    <row r="680" spans="5:9" x14ac:dyDescent="0.25">
      <c r="E680" s="26"/>
      <c r="F680" s="26"/>
      <c r="G680" s="26"/>
      <c r="H680" s="26"/>
      <c r="I680" s="26"/>
    </row>
    <row r="681" spans="5:9" x14ac:dyDescent="0.25">
      <c r="E681" s="26"/>
      <c r="F681" s="26"/>
      <c r="G681" s="26"/>
      <c r="H681" s="26"/>
      <c r="I681" s="26"/>
    </row>
    <row r="682" spans="5:9" x14ac:dyDescent="0.25">
      <c r="E682" s="26"/>
      <c r="F682" s="26"/>
      <c r="G682" s="26"/>
      <c r="H682" s="26"/>
      <c r="I682" s="26"/>
    </row>
    <row r="683" spans="5:9" x14ac:dyDescent="0.25">
      <c r="E683" s="26"/>
      <c r="F683" s="26"/>
      <c r="G683" s="26"/>
      <c r="H683" s="26"/>
      <c r="I683" s="26"/>
    </row>
    <row r="684" spans="5:9" x14ac:dyDescent="0.25">
      <c r="E684" s="26"/>
      <c r="F684" s="26"/>
      <c r="G684" s="26"/>
      <c r="H684" s="26"/>
      <c r="I684" s="26"/>
    </row>
    <row r="685" spans="5:9" x14ac:dyDescent="0.25">
      <c r="E685" s="26"/>
      <c r="F685" s="26"/>
      <c r="G685" s="26"/>
      <c r="H685" s="26"/>
      <c r="I685" s="26"/>
    </row>
    <row r="686" spans="5:9" x14ac:dyDescent="0.25">
      <c r="E686" s="26"/>
      <c r="F686" s="26"/>
      <c r="G686" s="26"/>
      <c r="H686" s="26"/>
      <c r="I686" s="26"/>
    </row>
    <row r="687" spans="5:9" x14ac:dyDescent="0.25">
      <c r="E687" s="26"/>
      <c r="F687" s="26"/>
      <c r="G687" s="26"/>
      <c r="H687" s="26"/>
      <c r="I687" s="26"/>
    </row>
    <row r="688" spans="5:9" x14ac:dyDescent="0.25">
      <c r="E688" s="26"/>
      <c r="F688" s="26"/>
      <c r="G688" s="26"/>
      <c r="H688" s="26"/>
      <c r="I688" s="26"/>
    </row>
  </sheetData>
  <mergeCells count="13">
    <mergeCell ref="H114:H115"/>
    <mergeCell ref="I114:I115"/>
    <mergeCell ref="C3:F3"/>
    <mergeCell ref="C4:F4"/>
    <mergeCell ref="A5:I5"/>
    <mergeCell ref="A6:I6"/>
    <mergeCell ref="A7:I7"/>
    <mergeCell ref="B9:D9"/>
    <mergeCell ref="B65:D65"/>
    <mergeCell ref="E65:I65"/>
    <mergeCell ref="B105:G106"/>
    <mergeCell ref="H111:H113"/>
    <mergeCell ref="I111:I113"/>
  </mergeCells>
  <pageMargins left="0.7" right="0.7" top="0.75" bottom="0.75" header="0.3" footer="0.3"/>
  <pageSetup scale="70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ACC2-0F6B-4DDC-BF57-AE7829F65138}">
  <dimension ref="A1:AI119"/>
  <sheetViews>
    <sheetView topLeftCell="A61" workbookViewId="0">
      <selection activeCell="AB48" sqref="AB48"/>
    </sheetView>
  </sheetViews>
  <sheetFormatPr defaultRowHeight="13" x14ac:dyDescent="0.3"/>
  <cols>
    <col min="1" max="6" width="2.90625" style="258" customWidth="1"/>
    <col min="7" max="7" width="35.1796875" style="258" bestFit="1" customWidth="1"/>
    <col min="8" max="8" width="9.90625" style="184" customWidth="1"/>
    <col min="9" max="9" width="2.1796875" style="184" customWidth="1"/>
    <col min="10" max="10" width="9.90625" style="184" customWidth="1"/>
    <col min="11" max="11" width="2.1796875" style="184" customWidth="1"/>
    <col min="12" max="12" width="9.90625" style="184" customWidth="1"/>
    <col min="13" max="13" width="2.1796875" style="184" customWidth="1"/>
    <col min="14" max="14" width="9.90625" style="184" customWidth="1"/>
    <col min="15" max="15" width="2.1796875" style="184" customWidth="1"/>
    <col min="16" max="16" width="9.90625" style="184" customWidth="1"/>
    <col min="17" max="17" width="2.1796875" style="184" customWidth="1"/>
    <col min="18" max="18" width="9.90625" style="184" customWidth="1"/>
    <col min="19" max="19" width="2.1796875" style="184" customWidth="1"/>
    <col min="20" max="20" width="9.90625" style="184" customWidth="1"/>
    <col min="21" max="21" width="2.1796875" style="184" customWidth="1"/>
    <col min="22" max="22" width="9.90625" style="184" customWidth="1"/>
    <col min="23" max="23" width="2.1796875" style="184" customWidth="1"/>
    <col min="24" max="24" width="9.90625" style="184" customWidth="1"/>
    <col min="25" max="25" width="2.1796875" style="184" customWidth="1"/>
    <col min="26" max="26" width="9.90625" style="184" customWidth="1"/>
    <col min="27" max="27" width="2.1796875" style="184" customWidth="1"/>
    <col min="28" max="28" width="9.90625" style="184" customWidth="1"/>
    <col min="29" max="29" width="2.1796875" style="184" customWidth="1"/>
    <col min="30" max="30" width="9.90625" style="184" customWidth="1"/>
    <col min="31" max="31" width="2.1796875" style="184" customWidth="1"/>
    <col min="32" max="32" width="11.453125" style="184" bestFit="1" customWidth="1"/>
    <col min="33" max="33" width="8.7265625" style="184"/>
    <col min="34" max="35" width="12.90625" style="184" bestFit="1" customWidth="1"/>
    <col min="36" max="16384" width="8.7265625" style="184"/>
  </cols>
  <sheetData>
    <row r="1" spans="1:34" s="255" customFormat="1" ht="13.5" thickBot="1" x14ac:dyDescent="0.35">
      <c r="A1" s="181"/>
      <c r="B1" s="181"/>
      <c r="C1" s="181"/>
      <c r="D1" s="181"/>
      <c r="E1" s="181"/>
      <c r="F1" s="181"/>
      <c r="G1" s="181"/>
      <c r="H1" s="182" t="s">
        <v>145</v>
      </c>
      <c r="I1" s="183"/>
      <c r="J1" s="182" t="s">
        <v>146</v>
      </c>
      <c r="K1" s="183"/>
      <c r="L1" s="182" t="s">
        <v>147</v>
      </c>
      <c r="M1" s="183"/>
      <c r="N1" s="182" t="s">
        <v>148</v>
      </c>
      <c r="O1" s="183"/>
      <c r="P1" s="182" t="s">
        <v>149</v>
      </c>
      <c r="Q1" s="183"/>
      <c r="R1" s="182" t="s">
        <v>150</v>
      </c>
      <c r="S1" s="183"/>
      <c r="T1" s="182" t="s">
        <v>151</v>
      </c>
      <c r="U1" s="183"/>
      <c r="V1" s="182" t="s">
        <v>152</v>
      </c>
      <c r="W1" s="183"/>
      <c r="X1" s="182" t="s">
        <v>153</v>
      </c>
      <c r="Y1" s="183"/>
      <c r="Z1" s="182" t="s">
        <v>154</v>
      </c>
      <c r="AA1" s="183"/>
      <c r="AB1" s="182" t="s">
        <v>155</v>
      </c>
      <c r="AC1" s="183"/>
      <c r="AD1" s="182" t="s">
        <v>156</v>
      </c>
      <c r="AE1" s="183"/>
      <c r="AF1" s="182" t="s">
        <v>157</v>
      </c>
    </row>
    <row r="2" spans="1:34" ht="13.5" thickTop="1" x14ac:dyDescent="0.3">
      <c r="A2" s="185"/>
      <c r="B2" s="185" t="s">
        <v>158</v>
      </c>
      <c r="C2" s="185"/>
      <c r="D2" s="185"/>
      <c r="E2" s="185"/>
      <c r="F2" s="185"/>
      <c r="G2" s="185"/>
      <c r="H2" s="186"/>
      <c r="I2" s="187"/>
      <c r="J2" s="186"/>
      <c r="K2" s="187"/>
      <c r="L2" s="186"/>
      <c r="M2" s="187"/>
      <c r="N2" s="186"/>
      <c r="O2" s="187"/>
      <c r="P2" s="186"/>
      <c r="Q2" s="187"/>
      <c r="R2" s="186"/>
      <c r="S2" s="187"/>
      <c r="T2" s="186"/>
      <c r="U2" s="187"/>
      <c r="V2" s="186"/>
      <c r="W2" s="187"/>
      <c r="X2" s="186"/>
      <c r="Y2" s="187"/>
      <c r="Z2" s="186"/>
      <c r="AA2" s="187"/>
      <c r="AB2" s="186"/>
      <c r="AC2" s="187"/>
      <c r="AD2" s="186"/>
      <c r="AE2" s="187"/>
      <c r="AF2" s="186"/>
    </row>
    <row r="3" spans="1:34" x14ac:dyDescent="0.3">
      <c r="A3" s="185"/>
      <c r="B3" s="185"/>
      <c r="C3" s="185"/>
      <c r="D3" s="185" t="s">
        <v>159</v>
      </c>
      <c r="E3" s="185"/>
      <c r="F3" s="185"/>
      <c r="G3" s="185"/>
      <c r="H3" s="186"/>
      <c r="I3" s="187"/>
      <c r="J3" s="186"/>
      <c r="K3" s="187"/>
      <c r="L3" s="186"/>
      <c r="M3" s="187"/>
      <c r="N3" s="186"/>
      <c r="O3" s="187"/>
      <c r="P3" s="186"/>
      <c r="Q3" s="187"/>
      <c r="R3" s="186"/>
      <c r="S3" s="187"/>
      <c r="T3" s="186"/>
      <c r="U3" s="187"/>
      <c r="V3" s="186"/>
      <c r="W3" s="187"/>
      <c r="X3" s="186"/>
      <c r="Y3" s="187"/>
      <c r="Z3" s="186"/>
      <c r="AA3" s="187"/>
      <c r="AB3" s="186"/>
      <c r="AC3" s="187"/>
      <c r="AD3" s="186"/>
      <c r="AE3" s="187"/>
      <c r="AF3" s="186"/>
    </row>
    <row r="4" spans="1:34" x14ac:dyDescent="0.3">
      <c r="A4" s="185"/>
      <c r="B4" s="185"/>
      <c r="C4" s="185"/>
      <c r="D4" s="185"/>
      <c r="E4" s="185" t="s">
        <v>325</v>
      </c>
      <c r="F4" s="185"/>
      <c r="G4" s="185"/>
      <c r="H4" s="186"/>
      <c r="I4" s="187"/>
      <c r="J4" s="186"/>
      <c r="K4" s="187"/>
      <c r="L4" s="186"/>
      <c r="M4" s="187"/>
      <c r="N4" s="186"/>
      <c r="O4" s="187"/>
      <c r="P4" s="186"/>
      <c r="Q4" s="187"/>
      <c r="R4" s="186"/>
      <c r="S4" s="187"/>
      <c r="T4" s="186"/>
      <c r="U4" s="187"/>
      <c r="V4" s="186"/>
      <c r="W4" s="187"/>
      <c r="X4" s="186"/>
      <c r="Y4" s="187"/>
      <c r="Z4" s="186"/>
      <c r="AA4" s="187"/>
      <c r="AB4" s="186"/>
      <c r="AC4" s="187"/>
      <c r="AD4" s="186"/>
      <c r="AE4" s="187"/>
      <c r="AF4" s="186"/>
    </row>
    <row r="5" spans="1:34" ht="13.5" thickBot="1" x14ac:dyDescent="0.35">
      <c r="A5" s="185"/>
      <c r="B5" s="185"/>
      <c r="C5" s="185"/>
      <c r="D5" s="185"/>
      <c r="E5" s="185"/>
      <c r="F5" s="185" t="s">
        <v>326</v>
      </c>
      <c r="G5" s="185"/>
      <c r="H5" s="188">
        <v>0</v>
      </c>
      <c r="I5" s="187"/>
      <c r="J5" s="188">
        <v>0</v>
      </c>
      <c r="K5" s="187"/>
      <c r="L5" s="188">
        <v>1450</v>
      </c>
      <c r="M5" s="187"/>
      <c r="N5" s="188">
        <v>0</v>
      </c>
      <c r="O5" s="187"/>
      <c r="P5" s="188">
        <v>3315.5</v>
      </c>
      <c r="Q5" s="187"/>
      <c r="R5" s="188">
        <v>1072</v>
      </c>
      <c r="S5" s="187"/>
      <c r="T5" s="188">
        <v>0</v>
      </c>
      <c r="U5" s="187"/>
      <c r="V5" s="188">
        <v>0</v>
      </c>
      <c r="W5" s="187"/>
      <c r="X5" s="188">
        <v>3609.55</v>
      </c>
      <c r="Y5" s="187"/>
      <c r="Z5" s="188">
        <v>0</v>
      </c>
      <c r="AA5" s="187"/>
      <c r="AB5" s="188">
        <v>0</v>
      </c>
      <c r="AC5" s="187"/>
      <c r="AD5" s="188">
        <v>0</v>
      </c>
      <c r="AE5" s="187"/>
      <c r="AF5" s="188">
        <f>ROUND(SUM(H5:AD5),5)</f>
        <v>9447.0499999999993</v>
      </c>
    </row>
    <row r="6" spans="1:34" x14ac:dyDescent="0.3">
      <c r="A6" s="185"/>
      <c r="B6" s="185"/>
      <c r="C6" s="185"/>
      <c r="D6" s="185"/>
      <c r="E6" s="185" t="s">
        <v>327</v>
      </c>
      <c r="F6" s="185"/>
      <c r="G6" s="185"/>
      <c r="H6" s="186">
        <f>ROUND(SUM(H4:H5),5)</f>
        <v>0</v>
      </c>
      <c r="I6" s="187"/>
      <c r="J6" s="186">
        <f>ROUND(SUM(J4:J5),5)</f>
        <v>0</v>
      </c>
      <c r="K6" s="187"/>
      <c r="L6" s="186">
        <f>ROUND(SUM(L4:L5),5)</f>
        <v>1450</v>
      </c>
      <c r="M6" s="187"/>
      <c r="N6" s="186">
        <f>ROUND(SUM(N4:N5),5)</f>
        <v>0</v>
      </c>
      <c r="O6" s="187"/>
      <c r="P6" s="186">
        <f>ROUND(SUM(P4:P5),5)</f>
        <v>3315.5</v>
      </c>
      <c r="Q6" s="187"/>
      <c r="R6" s="186">
        <f>ROUND(SUM(R4:R5),5)</f>
        <v>1072</v>
      </c>
      <c r="S6" s="187"/>
      <c r="T6" s="186">
        <f>ROUND(SUM(T4:T5),5)</f>
        <v>0</v>
      </c>
      <c r="U6" s="187"/>
      <c r="V6" s="186">
        <f>ROUND(SUM(V4:V5),5)</f>
        <v>0</v>
      </c>
      <c r="W6" s="187"/>
      <c r="X6" s="186">
        <f>ROUND(SUM(X4:X5),5)</f>
        <v>3609.55</v>
      </c>
      <c r="Y6" s="187"/>
      <c r="Z6" s="186">
        <f>ROUND(SUM(Z4:Z5),5)</f>
        <v>0</v>
      </c>
      <c r="AA6" s="187"/>
      <c r="AB6" s="186">
        <f>ROUND(SUM(AB4:AB5),5)</f>
        <v>0</v>
      </c>
      <c r="AC6" s="187"/>
      <c r="AD6" s="186">
        <f>ROUND(SUM(AD4:AD5),5)</f>
        <v>0</v>
      </c>
      <c r="AE6" s="187"/>
      <c r="AF6" s="186">
        <f>ROUND(SUM(H6:AD6),5)</f>
        <v>9447.0499999999993</v>
      </c>
    </row>
    <row r="7" spans="1:34" x14ac:dyDescent="0.3">
      <c r="A7" s="185"/>
      <c r="B7" s="185"/>
      <c r="C7" s="185"/>
      <c r="D7" s="185"/>
      <c r="E7" s="185" t="s">
        <v>160</v>
      </c>
      <c r="F7" s="185"/>
      <c r="G7" s="185"/>
      <c r="H7" s="186"/>
      <c r="I7" s="187"/>
      <c r="J7" s="186"/>
      <c r="K7" s="187"/>
      <c r="L7" s="186"/>
      <c r="M7" s="187"/>
      <c r="N7" s="186"/>
      <c r="O7" s="187"/>
      <c r="P7" s="186"/>
      <c r="Q7" s="187"/>
      <c r="R7" s="186"/>
      <c r="S7" s="187"/>
      <c r="T7" s="186"/>
      <c r="U7" s="187"/>
      <c r="V7" s="186"/>
      <c r="W7" s="187"/>
      <c r="X7" s="186"/>
      <c r="Y7" s="187"/>
      <c r="Z7" s="186"/>
      <c r="AA7" s="187"/>
      <c r="AB7" s="186"/>
      <c r="AC7" s="187"/>
      <c r="AD7" s="186"/>
      <c r="AE7" s="187"/>
      <c r="AF7" s="186"/>
    </row>
    <row r="8" spans="1:34" ht="13.5" thickBot="1" x14ac:dyDescent="0.35">
      <c r="A8" s="185"/>
      <c r="B8" s="185"/>
      <c r="C8" s="185"/>
      <c r="D8" s="185"/>
      <c r="E8" s="185"/>
      <c r="F8" s="185" t="s">
        <v>161</v>
      </c>
      <c r="G8" s="185"/>
      <c r="H8" s="188">
        <v>0</v>
      </c>
      <c r="I8" s="187"/>
      <c r="J8" s="188">
        <v>686.34</v>
      </c>
      <c r="K8" s="187"/>
      <c r="L8" s="188">
        <v>248</v>
      </c>
      <c r="M8" s="187"/>
      <c r="N8" s="188">
        <v>0</v>
      </c>
      <c r="O8" s="187"/>
      <c r="P8" s="188">
        <v>0</v>
      </c>
      <c r="Q8" s="187"/>
      <c r="R8" s="188">
        <v>57.98</v>
      </c>
      <c r="S8" s="187"/>
      <c r="T8" s="188">
        <v>0</v>
      </c>
      <c r="U8" s="187"/>
      <c r="V8" s="188">
        <v>0</v>
      </c>
      <c r="W8" s="187"/>
      <c r="X8" s="188">
        <v>0</v>
      </c>
      <c r="Y8" s="187"/>
      <c r="Z8" s="188">
        <v>0</v>
      </c>
      <c r="AA8" s="187"/>
      <c r="AB8" s="188">
        <f>90*20</f>
        <v>1800</v>
      </c>
      <c r="AC8" s="187"/>
      <c r="AD8" s="188">
        <v>0</v>
      </c>
      <c r="AE8" s="187"/>
      <c r="AF8" s="188">
        <f>ROUND(SUM(H8:AD8),5)</f>
        <v>2792.32</v>
      </c>
    </row>
    <row r="9" spans="1:34" x14ac:dyDescent="0.3">
      <c r="A9" s="185"/>
      <c r="B9" s="185"/>
      <c r="C9" s="185"/>
      <c r="D9" s="185"/>
      <c r="E9" s="185" t="s">
        <v>162</v>
      </c>
      <c r="F9" s="185"/>
      <c r="G9" s="185"/>
      <c r="H9" s="186">
        <f>ROUND(SUM(H7:H8),5)</f>
        <v>0</v>
      </c>
      <c r="I9" s="187"/>
      <c r="J9" s="186">
        <f>ROUND(SUM(J7:J8),5)</f>
        <v>686.34</v>
      </c>
      <c r="K9" s="187"/>
      <c r="L9" s="186">
        <f>ROUND(SUM(L7:L8),5)</f>
        <v>248</v>
      </c>
      <c r="M9" s="187"/>
      <c r="N9" s="186">
        <f>ROUND(SUM(N7:N8),5)</f>
        <v>0</v>
      </c>
      <c r="O9" s="187"/>
      <c r="P9" s="186">
        <f>ROUND(SUM(P7:P8),5)</f>
        <v>0</v>
      </c>
      <c r="Q9" s="187"/>
      <c r="R9" s="186">
        <f>ROUND(SUM(R7:R8),5)</f>
        <v>57.98</v>
      </c>
      <c r="S9" s="187"/>
      <c r="T9" s="186">
        <f>ROUND(SUM(T7:T8),5)</f>
        <v>0</v>
      </c>
      <c r="U9" s="187"/>
      <c r="V9" s="186">
        <f>ROUND(SUM(V7:V8),5)</f>
        <v>0</v>
      </c>
      <c r="W9" s="187"/>
      <c r="X9" s="186">
        <f>ROUND(SUM(X7:X8),5)</f>
        <v>0</v>
      </c>
      <c r="Y9" s="187"/>
      <c r="Z9" s="186">
        <f>ROUND(SUM(Z7:Z8),5)</f>
        <v>0</v>
      </c>
      <c r="AA9" s="187"/>
      <c r="AB9" s="186">
        <f>ROUND(SUM(AB7:AB8),5)</f>
        <v>1800</v>
      </c>
      <c r="AC9" s="187"/>
      <c r="AD9" s="186">
        <f>ROUND(SUM(AD7:AD8),5)</f>
        <v>0</v>
      </c>
      <c r="AE9" s="187"/>
      <c r="AF9" s="186">
        <f>ROUND(SUM(H9:AD9),5)</f>
        <v>2792.32</v>
      </c>
    </row>
    <row r="10" spans="1:34" x14ac:dyDescent="0.3">
      <c r="A10" s="185"/>
      <c r="B10" s="185"/>
      <c r="C10" s="185"/>
      <c r="D10" s="185"/>
      <c r="E10" s="185" t="s">
        <v>163</v>
      </c>
      <c r="F10" s="185"/>
      <c r="G10" s="185"/>
      <c r="H10" s="186"/>
      <c r="I10" s="187"/>
      <c r="J10" s="186"/>
      <c r="K10" s="187"/>
      <c r="L10" s="186"/>
      <c r="M10" s="187"/>
      <c r="N10" s="186"/>
      <c r="O10" s="187"/>
      <c r="P10" s="186"/>
      <c r="Q10" s="187"/>
      <c r="R10" s="186"/>
      <c r="S10" s="187"/>
      <c r="T10" s="186"/>
      <c r="U10" s="187"/>
      <c r="V10" s="186"/>
      <c r="W10" s="187"/>
      <c r="X10" s="186"/>
      <c r="Y10" s="187"/>
      <c r="Z10" s="186"/>
      <c r="AA10" s="187"/>
      <c r="AB10" s="186"/>
      <c r="AC10" s="187"/>
      <c r="AD10" s="186"/>
      <c r="AE10" s="187"/>
      <c r="AF10" s="186"/>
    </row>
    <row r="11" spans="1:34" ht="13.5" thickBot="1" x14ac:dyDescent="0.35">
      <c r="A11" s="185"/>
      <c r="B11" s="185"/>
      <c r="C11" s="185"/>
      <c r="D11" s="185"/>
      <c r="E11" s="185"/>
      <c r="F11" s="185" t="s">
        <v>164</v>
      </c>
      <c r="G11" s="185"/>
      <c r="H11" s="188">
        <v>500</v>
      </c>
      <c r="I11" s="187"/>
      <c r="J11" s="188">
        <v>0</v>
      </c>
      <c r="K11" s="187"/>
      <c r="L11" s="188">
        <v>0</v>
      </c>
      <c r="M11" s="187"/>
      <c r="N11" s="188">
        <v>0</v>
      </c>
      <c r="O11" s="187"/>
      <c r="P11" s="188">
        <v>917</v>
      </c>
      <c r="Q11" s="187"/>
      <c r="R11" s="188">
        <v>2847.06</v>
      </c>
      <c r="S11" s="187"/>
      <c r="T11" s="188">
        <v>0</v>
      </c>
      <c r="U11" s="187"/>
      <c r="V11" s="188">
        <v>0</v>
      </c>
      <c r="W11" s="187"/>
      <c r="X11" s="188">
        <v>400</v>
      </c>
      <c r="Y11" s="187"/>
      <c r="Z11" s="188">
        <v>0</v>
      </c>
      <c r="AA11" s="187"/>
      <c r="AB11" s="188">
        <v>0</v>
      </c>
      <c r="AC11" s="187"/>
      <c r="AD11" s="188">
        <v>0</v>
      </c>
      <c r="AE11" s="187"/>
      <c r="AF11" s="188">
        <f>ROUND(SUM(H11:AD11),5)</f>
        <v>4664.0600000000004</v>
      </c>
    </row>
    <row r="12" spans="1:34" x14ac:dyDescent="0.3">
      <c r="A12" s="185"/>
      <c r="B12" s="185"/>
      <c r="C12" s="185"/>
      <c r="D12" s="185"/>
      <c r="E12" s="185" t="s">
        <v>165</v>
      </c>
      <c r="F12" s="185"/>
      <c r="G12" s="185"/>
      <c r="H12" s="186">
        <f>ROUND(SUM(H10:H11),5)</f>
        <v>500</v>
      </c>
      <c r="I12" s="187"/>
      <c r="J12" s="186">
        <f>ROUND(SUM(J10:J11),5)</f>
        <v>0</v>
      </c>
      <c r="K12" s="187"/>
      <c r="L12" s="186">
        <f>ROUND(SUM(L10:L11),5)</f>
        <v>0</v>
      </c>
      <c r="M12" s="187"/>
      <c r="N12" s="186">
        <f>ROUND(SUM(N10:N11),5)</f>
        <v>0</v>
      </c>
      <c r="O12" s="187"/>
      <c r="P12" s="186">
        <f>ROUND(SUM(P10:P11),5)</f>
        <v>917</v>
      </c>
      <c r="Q12" s="187"/>
      <c r="R12" s="186">
        <f>ROUND(SUM(R10:R11),5)</f>
        <v>2847.06</v>
      </c>
      <c r="S12" s="187"/>
      <c r="T12" s="186">
        <f>ROUND(SUM(T10:T11),5)</f>
        <v>0</v>
      </c>
      <c r="U12" s="187"/>
      <c r="V12" s="186">
        <f>ROUND(SUM(V10:V11),5)</f>
        <v>0</v>
      </c>
      <c r="W12" s="187"/>
      <c r="X12" s="186">
        <f>ROUND(SUM(X10:X11),5)</f>
        <v>400</v>
      </c>
      <c r="Y12" s="187"/>
      <c r="Z12" s="186">
        <f>ROUND(SUM(Z10:Z11),5)</f>
        <v>0</v>
      </c>
      <c r="AA12" s="187"/>
      <c r="AB12" s="186">
        <f>ROUND(SUM(AB10:AB11),5)</f>
        <v>0</v>
      </c>
      <c r="AC12" s="187"/>
      <c r="AD12" s="186">
        <f>ROUND(SUM(AD10:AD11),5)</f>
        <v>0</v>
      </c>
      <c r="AE12" s="187"/>
      <c r="AF12" s="186">
        <f>ROUND(SUM(H12:AD12),5)</f>
        <v>4664.0600000000004</v>
      </c>
    </row>
    <row r="13" spans="1:34" x14ac:dyDescent="0.3">
      <c r="A13" s="185"/>
      <c r="B13" s="185"/>
      <c r="C13" s="185"/>
      <c r="D13" s="185"/>
      <c r="E13" s="185" t="s">
        <v>166</v>
      </c>
      <c r="F13" s="185"/>
      <c r="G13" s="185"/>
      <c r="H13" s="186"/>
      <c r="I13" s="187"/>
      <c r="J13" s="186"/>
      <c r="K13" s="187"/>
      <c r="L13" s="186"/>
      <c r="M13" s="187"/>
      <c r="N13" s="186"/>
      <c r="O13" s="187"/>
      <c r="P13" s="186"/>
      <c r="Q13" s="187"/>
      <c r="R13" s="186"/>
      <c r="S13" s="187"/>
      <c r="T13" s="186"/>
      <c r="U13" s="187"/>
      <c r="V13" s="186"/>
      <c r="W13" s="187"/>
      <c r="X13" s="186"/>
      <c r="Y13" s="187"/>
      <c r="Z13" s="186"/>
      <c r="AA13" s="187"/>
      <c r="AB13" s="186"/>
      <c r="AC13" s="187"/>
      <c r="AD13" s="186"/>
      <c r="AE13" s="187"/>
      <c r="AF13" s="186"/>
    </row>
    <row r="14" spans="1:34" x14ac:dyDescent="0.3">
      <c r="A14" s="185"/>
      <c r="B14" s="185"/>
      <c r="C14" s="185"/>
      <c r="D14" s="185"/>
      <c r="E14" s="185"/>
      <c r="F14" s="185" t="s">
        <v>167</v>
      </c>
      <c r="G14" s="185"/>
      <c r="H14" s="186">
        <v>66225.119999999995</v>
      </c>
      <c r="I14" s="187"/>
      <c r="J14" s="186">
        <v>65127.53</v>
      </c>
      <c r="K14" s="187"/>
      <c r="L14" s="186">
        <v>60582.52</v>
      </c>
      <c r="M14" s="187"/>
      <c r="N14" s="186">
        <v>84608.91</v>
      </c>
      <c r="O14" s="187"/>
      <c r="P14" s="186">
        <v>67041.14</v>
      </c>
      <c r="Q14" s="187"/>
      <c r="R14" s="186">
        <v>62078.47</v>
      </c>
      <c r="S14" s="187"/>
      <c r="T14" s="186">
        <v>64723.37</v>
      </c>
      <c r="U14" s="187"/>
      <c r="V14" s="186">
        <v>63086.080000000002</v>
      </c>
      <c r="W14" s="187"/>
      <c r="X14" s="186">
        <v>63467.82</v>
      </c>
      <c r="Y14" s="187"/>
      <c r="Z14" s="186">
        <v>63634.38</v>
      </c>
      <c r="AA14" s="187"/>
      <c r="AB14" s="186">
        <v>63634.38</v>
      </c>
      <c r="AC14" s="187"/>
      <c r="AD14" s="186">
        <v>63634.38</v>
      </c>
      <c r="AE14" s="187"/>
      <c r="AF14" s="186">
        <f>ROUND(SUM(H14:AD14),5)</f>
        <v>787844.1</v>
      </c>
    </row>
    <row r="15" spans="1:34" ht="13.5" thickBot="1" x14ac:dyDescent="0.35">
      <c r="A15" s="185"/>
      <c r="B15" s="185"/>
      <c r="C15" s="185"/>
      <c r="D15" s="185"/>
      <c r="E15" s="185"/>
      <c r="F15" s="185" t="s">
        <v>168</v>
      </c>
      <c r="G15" s="185"/>
      <c r="H15" s="188">
        <v>4124.95</v>
      </c>
      <c r="I15" s="187"/>
      <c r="J15" s="188">
        <v>12673.16</v>
      </c>
      <c r="K15" s="187"/>
      <c r="L15" s="188">
        <v>8396.33</v>
      </c>
      <c r="M15" s="187"/>
      <c r="N15" s="188">
        <v>7232.54</v>
      </c>
      <c r="O15" s="187"/>
      <c r="P15" s="188">
        <v>6924.07</v>
      </c>
      <c r="Q15" s="187"/>
      <c r="R15" s="188">
        <v>9592.9699999999993</v>
      </c>
      <c r="S15" s="187"/>
      <c r="T15" s="188">
        <v>6863.17</v>
      </c>
      <c r="U15" s="187"/>
      <c r="V15" s="188">
        <v>6794.64</v>
      </c>
      <c r="W15" s="187"/>
      <c r="X15" s="188">
        <v>6898.93</v>
      </c>
      <c r="Y15" s="187"/>
      <c r="Z15" s="188">
        <f>27595.73/4</f>
        <v>6898.9324999999999</v>
      </c>
      <c r="AA15" s="187"/>
      <c r="AB15" s="188">
        <f>27595.73/4</f>
        <v>6898.9324999999999</v>
      </c>
      <c r="AC15" s="187"/>
      <c r="AD15" s="188">
        <f>27595.73/4</f>
        <v>6898.9324999999999</v>
      </c>
      <c r="AE15" s="187"/>
      <c r="AF15" s="188">
        <f>ROUND(SUM(H15:AD15),5)</f>
        <v>90197.557499999995</v>
      </c>
    </row>
    <row r="16" spans="1:34" x14ac:dyDescent="0.3">
      <c r="A16" s="185"/>
      <c r="B16" s="185"/>
      <c r="C16" s="185"/>
      <c r="D16" s="185"/>
      <c r="E16" s="185" t="s">
        <v>169</v>
      </c>
      <c r="F16" s="185"/>
      <c r="G16" s="185"/>
      <c r="H16" s="186">
        <f>ROUND(SUM(H13:H15),5)</f>
        <v>70350.070000000007</v>
      </c>
      <c r="I16" s="187"/>
      <c r="J16" s="186">
        <f>ROUND(SUM(J13:J15),5)</f>
        <v>77800.69</v>
      </c>
      <c r="K16" s="187"/>
      <c r="L16" s="186">
        <f>ROUND(SUM(L13:L15),5)</f>
        <v>68978.850000000006</v>
      </c>
      <c r="M16" s="187"/>
      <c r="N16" s="186">
        <f>ROUND(SUM(N13:N15),5)</f>
        <v>91841.45</v>
      </c>
      <c r="O16" s="187"/>
      <c r="P16" s="186">
        <f>ROUND(SUM(P13:P15),5)</f>
        <v>73965.210000000006</v>
      </c>
      <c r="Q16" s="187"/>
      <c r="R16" s="186">
        <f>ROUND(SUM(R13:R15),5)</f>
        <v>71671.44</v>
      </c>
      <c r="S16" s="187"/>
      <c r="T16" s="186">
        <f>ROUND(SUM(T13:T15),5)</f>
        <v>71586.539999999994</v>
      </c>
      <c r="U16" s="187"/>
      <c r="V16" s="186">
        <f>ROUND(SUM(V13:V15),5)</f>
        <v>69880.72</v>
      </c>
      <c r="W16" s="187"/>
      <c r="X16" s="186">
        <f>ROUND(SUM(X13:X15),5)</f>
        <v>70366.75</v>
      </c>
      <c r="Y16" s="187"/>
      <c r="Z16" s="186">
        <f>ROUND(SUM(Z13:Z15),5)</f>
        <v>70533.3125</v>
      </c>
      <c r="AA16" s="187"/>
      <c r="AB16" s="186">
        <f>ROUND(SUM(AB13:AB15),5)</f>
        <v>70533.3125</v>
      </c>
      <c r="AC16" s="187"/>
      <c r="AD16" s="186">
        <f>ROUND(SUM(AD13:AD15),5)</f>
        <v>70533.3125</v>
      </c>
      <c r="AE16" s="187"/>
      <c r="AF16" s="186">
        <f>ROUND(SUM(H16:AD16),5)</f>
        <v>878041.65749999997</v>
      </c>
      <c r="AH16" s="256"/>
    </row>
    <row r="17" spans="1:34" x14ac:dyDescent="0.3">
      <c r="A17" s="185"/>
      <c r="B17" s="185"/>
      <c r="C17" s="185"/>
      <c r="D17" s="185"/>
      <c r="E17" s="185" t="s">
        <v>170</v>
      </c>
      <c r="F17" s="185"/>
      <c r="G17" s="185"/>
      <c r="H17" s="186"/>
      <c r="I17" s="187"/>
      <c r="J17" s="186"/>
      <c r="K17" s="187"/>
      <c r="L17" s="186"/>
      <c r="M17" s="187"/>
      <c r="N17" s="186"/>
      <c r="O17" s="187"/>
      <c r="P17" s="186"/>
      <c r="Q17" s="187"/>
      <c r="R17" s="186"/>
      <c r="S17" s="187"/>
      <c r="T17" s="186"/>
      <c r="U17" s="187"/>
      <c r="V17" s="186"/>
      <c r="W17" s="187"/>
      <c r="X17" s="186"/>
      <c r="Y17" s="187"/>
      <c r="Z17" s="186"/>
      <c r="AA17" s="187"/>
      <c r="AB17" s="186"/>
      <c r="AC17" s="187"/>
      <c r="AD17" s="186"/>
      <c r="AE17" s="187"/>
      <c r="AF17" s="186"/>
    </row>
    <row r="18" spans="1:34" x14ac:dyDescent="0.3">
      <c r="A18" s="185"/>
      <c r="B18" s="185"/>
      <c r="C18" s="185"/>
      <c r="D18" s="185"/>
      <c r="E18" s="185"/>
      <c r="F18" s="185" t="s">
        <v>171</v>
      </c>
      <c r="G18" s="185"/>
      <c r="H18" s="186">
        <v>10454.1</v>
      </c>
      <c r="I18" s="187"/>
      <c r="J18" s="186">
        <v>12332.23</v>
      </c>
      <c r="K18" s="187"/>
      <c r="L18" s="186">
        <v>11385.64</v>
      </c>
      <c r="M18" s="187"/>
      <c r="N18" s="186">
        <v>10965.51</v>
      </c>
      <c r="O18" s="187"/>
      <c r="P18" s="186">
        <v>15424.59</v>
      </c>
      <c r="Q18" s="187"/>
      <c r="R18" s="186">
        <v>10485.99</v>
      </c>
      <c r="S18" s="187"/>
      <c r="T18" s="186">
        <v>10254.200000000001</v>
      </c>
      <c r="U18" s="187"/>
      <c r="V18" s="186">
        <v>9824.5400000000009</v>
      </c>
      <c r="W18" s="187"/>
      <c r="X18" s="186">
        <v>9758.89</v>
      </c>
      <c r="Y18" s="187"/>
      <c r="Z18" s="186">
        <f>39035.55/4</f>
        <v>9758.8875000000007</v>
      </c>
      <c r="AA18" s="187"/>
      <c r="AB18" s="186">
        <f>39035.55/4</f>
        <v>9758.8875000000007</v>
      </c>
      <c r="AC18" s="187"/>
      <c r="AD18" s="186">
        <f>39035.55/4</f>
        <v>9758.8875000000007</v>
      </c>
      <c r="AE18" s="187"/>
      <c r="AF18" s="186">
        <f>ROUND(SUM(H18:AD18),5)</f>
        <v>130162.35249999999</v>
      </c>
    </row>
    <row r="19" spans="1:34" ht="13.5" thickBot="1" x14ac:dyDescent="0.35">
      <c r="A19" s="185"/>
      <c r="B19" s="185"/>
      <c r="C19" s="185"/>
      <c r="D19" s="185"/>
      <c r="E19" s="185"/>
      <c r="F19" s="185" t="s">
        <v>172</v>
      </c>
      <c r="G19" s="185"/>
      <c r="H19" s="188">
        <v>3348.43</v>
      </c>
      <c r="I19" s="187"/>
      <c r="J19" s="188">
        <v>3295.95</v>
      </c>
      <c r="K19" s="187"/>
      <c r="L19" s="188">
        <v>3297.76</v>
      </c>
      <c r="M19" s="187"/>
      <c r="N19" s="188">
        <v>3291.66</v>
      </c>
      <c r="O19" s="187"/>
      <c r="P19" s="188">
        <v>3046.75</v>
      </c>
      <c r="Q19" s="187"/>
      <c r="R19" s="188">
        <v>2930.15</v>
      </c>
      <c r="S19" s="187"/>
      <c r="T19" s="188">
        <v>3013.52</v>
      </c>
      <c r="U19" s="187"/>
      <c r="V19" s="188">
        <v>2970.02</v>
      </c>
      <c r="W19" s="187"/>
      <c r="X19" s="188">
        <v>3011.96</v>
      </c>
      <c r="Y19" s="187"/>
      <c r="Z19" s="188">
        <f>12047.82/4</f>
        <v>3011.9549999999999</v>
      </c>
      <c r="AA19" s="187"/>
      <c r="AB19" s="188">
        <f>12047.82/4</f>
        <v>3011.9549999999999</v>
      </c>
      <c r="AC19" s="187"/>
      <c r="AD19" s="188">
        <f>12047.82/4</f>
        <v>3011.9549999999999</v>
      </c>
      <c r="AE19" s="187"/>
      <c r="AF19" s="188">
        <f>ROUND(SUM(H19:AD19),5)</f>
        <v>37242.065000000002</v>
      </c>
    </row>
    <row r="20" spans="1:34" x14ac:dyDescent="0.3">
      <c r="A20" s="185"/>
      <c r="B20" s="185"/>
      <c r="C20" s="185"/>
      <c r="D20" s="185"/>
      <c r="E20" s="185" t="s">
        <v>173</v>
      </c>
      <c r="F20" s="185"/>
      <c r="G20" s="185"/>
      <c r="H20" s="186">
        <f>ROUND(SUM(H17:H19),5)</f>
        <v>13802.53</v>
      </c>
      <c r="I20" s="187"/>
      <c r="J20" s="186">
        <f>ROUND(SUM(J17:J19),5)</f>
        <v>15628.18</v>
      </c>
      <c r="K20" s="187"/>
      <c r="L20" s="186">
        <f>ROUND(SUM(L17:L19),5)</f>
        <v>14683.4</v>
      </c>
      <c r="M20" s="187"/>
      <c r="N20" s="186">
        <f>ROUND(SUM(N17:N19),5)</f>
        <v>14257.17</v>
      </c>
      <c r="O20" s="187"/>
      <c r="P20" s="186">
        <f>ROUND(SUM(P17:P19),5)</f>
        <v>18471.34</v>
      </c>
      <c r="Q20" s="187"/>
      <c r="R20" s="186">
        <f>ROUND(SUM(R17:R19),5)</f>
        <v>13416.14</v>
      </c>
      <c r="S20" s="187"/>
      <c r="T20" s="186">
        <f>ROUND(SUM(T17:T19),5)</f>
        <v>13267.72</v>
      </c>
      <c r="U20" s="187"/>
      <c r="V20" s="186">
        <f>ROUND(SUM(V17:V19),5)</f>
        <v>12794.56</v>
      </c>
      <c r="W20" s="187"/>
      <c r="X20" s="186">
        <f>ROUND(SUM(X17:X19),5)</f>
        <v>12770.85</v>
      </c>
      <c r="Y20" s="187"/>
      <c r="Z20" s="186">
        <f>ROUND(SUM(Z17:Z19),5)</f>
        <v>12770.842500000001</v>
      </c>
      <c r="AA20" s="187"/>
      <c r="AB20" s="186">
        <f>ROUND(SUM(AB17:AB19),5)</f>
        <v>12770.842500000001</v>
      </c>
      <c r="AC20" s="187"/>
      <c r="AD20" s="186">
        <f>ROUND(SUM(AD17:AD19),5)</f>
        <v>12770.842500000001</v>
      </c>
      <c r="AE20" s="187"/>
      <c r="AF20" s="186">
        <f>ROUND(SUM(H20:AD20),5)</f>
        <v>167404.41750000001</v>
      </c>
    </row>
    <row r="21" spans="1:34" x14ac:dyDescent="0.3">
      <c r="A21" s="185"/>
      <c r="B21" s="185"/>
      <c r="C21" s="185"/>
      <c r="D21" s="185"/>
      <c r="E21" s="185" t="s">
        <v>174</v>
      </c>
      <c r="F21" s="185"/>
      <c r="G21" s="185"/>
      <c r="H21" s="186"/>
      <c r="I21" s="187"/>
      <c r="J21" s="186"/>
      <c r="K21" s="187"/>
      <c r="L21" s="186"/>
      <c r="M21" s="187"/>
      <c r="N21" s="186"/>
      <c r="O21" s="187"/>
      <c r="P21" s="186"/>
      <c r="Q21" s="187"/>
      <c r="R21" s="186"/>
      <c r="S21" s="187"/>
      <c r="T21" s="186"/>
      <c r="U21" s="187"/>
      <c r="V21" s="186"/>
      <c r="W21" s="187"/>
      <c r="X21" s="186"/>
      <c r="Y21" s="187"/>
      <c r="Z21" s="186"/>
      <c r="AA21" s="187"/>
      <c r="AB21" s="186"/>
      <c r="AC21" s="187"/>
      <c r="AD21" s="186"/>
      <c r="AE21" s="187"/>
      <c r="AF21" s="186"/>
    </row>
    <row r="22" spans="1:34" x14ac:dyDescent="0.3">
      <c r="A22" s="185"/>
      <c r="B22" s="185"/>
      <c r="C22" s="185"/>
      <c r="D22" s="185"/>
      <c r="E22" s="185"/>
      <c r="F22" s="185" t="s">
        <v>175</v>
      </c>
      <c r="G22" s="185"/>
      <c r="H22" s="186"/>
      <c r="I22" s="187"/>
      <c r="J22" s="186"/>
      <c r="K22" s="187"/>
      <c r="L22" s="186"/>
      <c r="M22" s="187"/>
      <c r="N22" s="186"/>
      <c r="O22" s="187"/>
      <c r="P22" s="186"/>
      <c r="Q22" s="187"/>
      <c r="R22" s="186"/>
      <c r="S22" s="187"/>
      <c r="T22" s="186"/>
      <c r="U22" s="187"/>
      <c r="V22" s="186"/>
      <c r="W22" s="187"/>
      <c r="X22" s="186"/>
      <c r="Y22" s="187"/>
      <c r="Z22" s="186"/>
      <c r="AA22" s="187"/>
      <c r="AB22" s="186"/>
      <c r="AC22" s="187"/>
      <c r="AD22" s="186"/>
      <c r="AE22" s="187"/>
      <c r="AF22" s="186"/>
    </row>
    <row r="23" spans="1:34" ht="13.5" thickBot="1" x14ac:dyDescent="0.35">
      <c r="A23" s="185"/>
      <c r="B23" s="185"/>
      <c r="C23" s="185"/>
      <c r="D23" s="185"/>
      <c r="E23" s="185"/>
      <c r="F23" s="185"/>
      <c r="G23" s="185" t="s">
        <v>176</v>
      </c>
      <c r="H23" s="186">
        <v>26740.14</v>
      </c>
      <c r="I23" s="187"/>
      <c r="J23" s="186">
        <v>16368.82</v>
      </c>
      <c r="K23" s="187"/>
      <c r="L23" s="186">
        <v>6716.7</v>
      </c>
      <c r="M23" s="187"/>
      <c r="N23" s="186">
        <v>94004.21</v>
      </c>
      <c r="O23" s="187"/>
      <c r="P23" s="186">
        <v>62984.2</v>
      </c>
      <c r="Q23" s="187"/>
      <c r="R23" s="186">
        <v>47932.41</v>
      </c>
      <c r="S23" s="187"/>
      <c r="T23" s="186">
        <v>44888.03</v>
      </c>
      <c r="U23" s="187"/>
      <c r="V23" s="186">
        <v>52786.79</v>
      </c>
      <c r="W23" s="187"/>
      <c r="X23" s="186">
        <v>39850.14</v>
      </c>
      <c r="Y23" s="187"/>
      <c r="Z23" s="186">
        <f>167427/3</f>
        <v>55809</v>
      </c>
      <c r="AA23" s="187"/>
      <c r="AB23" s="186">
        <v>55809</v>
      </c>
      <c r="AC23" s="187"/>
      <c r="AD23" s="186">
        <v>55809</v>
      </c>
      <c r="AE23" s="187"/>
      <c r="AF23" s="186">
        <f t="shared" ref="AF23:AF28" si="0">ROUND(SUM(H23:AD23),5)</f>
        <v>559698.43999999994</v>
      </c>
    </row>
    <row r="24" spans="1:34" ht="13.5" thickBot="1" x14ac:dyDescent="0.35">
      <c r="A24" s="185"/>
      <c r="B24" s="185"/>
      <c r="C24" s="185"/>
      <c r="D24" s="185"/>
      <c r="E24" s="185"/>
      <c r="F24" s="185" t="s">
        <v>178</v>
      </c>
      <c r="G24" s="185"/>
      <c r="H24" s="191">
        <f>ROUND(SUM(H22:H23),5)</f>
        <v>26740.14</v>
      </c>
      <c r="I24" s="187"/>
      <c r="J24" s="191">
        <f>ROUND(SUM(J22:J23),5)</f>
        <v>16368.82</v>
      </c>
      <c r="K24" s="187"/>
      <c r="L24" s="191">
        <f>ROUND(SUM(L22:L23),5)</f>
        <v>6716.7</v>
      </c>
      <c r="M24" s="187"/>
      <c r="N24" s="191">
        <f>ROUND(SUM(N22:N23),5)</f>
        <v>94004.21</v>
      </c>
      <c r="O24" s="187"/>
      <c r="P24" s="191">
        <f>ROUND(SUM(P22:P23),5)</f>
        <v>62984.2</v>
      </c>
      <c r="Q24" s="187"/>
      <c r="R24" s="191">
        <f>ROUND(SUM(R22:R23),5)</f>
        <v>47932.41</v>
      </c>
      <c r="S24" s="187"/>
      <c r="T24" s="191">
        <f>ROUND(SUM(T22:T23),5)</f>
        <v>44888.03</v>
      </c>
      <c r="U24" s="187"/>
      <c r="V24" s="191">
        <f>ROUND(SUM(V22:V23),5)</f>
        <v>52786.79</v>
      </c>
      <c r="W24" s="187"/>
      <c r="X24" s="191">
        <f>ROUND(SUM(X22:X23),5)</f>
        <v>39850.14</v>
      </c>
      <c r="Y24" s="187"/>
      <c r="Z24" s="191">
        <f>ROUND(SUM(Z22:Z23),5)</f>
        <v>55809</v>
      </c>
      <c r="AA24" s="187"/>
      <c r="AB24" s="191">
        <f>ROUND(SUM(AB22:AB23),5)</f>
        <v>55809</v>
      </c>
      <c r="AC24" s="187"/>
      <c r="AD24" s="191">
        <f>ROUND(SUM(AD22:AD23),5)</f>
        <v>55809</v>
      </c>
      <c r="AE24" s="187"/>
      <c r="AF24" s="191">
        <f t="shared" si="0"/>
        <v>559698.43999999994</v>
      </c>
      <c r="AH24" s="74"/>
    </row>
    <row r="25" spans="1:34" x14ac:dyDescent="0.3">
      <c r="A25" s="185"/>
      <c r="B25" s="185"/>
      <c r="C25" s="185"/>
      <c r="D25" s="185"/>
      <c r="E25" s="185" t="s">
        <v>179</v>
      </c>
      <c r="F25" s="185"/>
      <c r="G25" s="185"/>
      <c r="H25" s="186">
        <f>ROUND(H21+H24,5)</f>
        <v>26740.14</v>
      </c>
      <c r="I25" s="187"/>
      <c r="J25" s="186">
        <f>ROUND(J21+J24,5)</f>
        <v>16368.82</v>
      </c>
      <c r="K25" s="187"/>
      <c r="L25" s="186">
        <f>ROUND(L21+L24,5)</f>
        <v>6716.7</v>
      </c>
      <c r="M25" s="187"/>
      <c r="N25" s="186">
        <f>ROUND(N21+N24,5)</f>
        <v>94004.21</v>
      </c>
      <c r="O25" s="187"/>
      <c r="P25" s="186">
        <f>ROUND(P21+P24,5)</f>
        <v>62984.2</v>
      </c>
      <c r="Q25" s="187"/>
      <c r="R25" s="186">
        <f>ROUND(R21+R24,5)</f>
        <v>47932.41</v>
      </c>
      <c r="S25" s="187"/>
      <c r="T25" s="186">
        <f>ROUND(T21+T24,5)</f>
        <v>44888.03</v>
      </c>
      <c r="U25" s="187"/>
      <c r="V25" s="186">
        <f>ROUND(V21+V24,5)</f>
        <v>52786.79</v>
      </c>
      <c r="W25" s="187"/>
      <c r="X25" s="186">
        <f>ROUND(X21+X24,5)</f>
        <v>39850.14</v>
      </c>
      <c r="Y25" s="187"/>
      <c r="Z25" s="186">
        <f>ROUND(Z21+Z24,5)</f>
        <v>55809</v>
      </c>
      <c r="AA25" s="187"/>
      <c r="AB25" s="186">
        <f>ROUND(AB21+AB24,5)</f>
        <v>55809</v>
      </c>
      <c r="AC25" s="187"/>
      <c r="AD25" s="186">
        <f>ROUND(AD21+AD24,5)</f>
        <v>55809</v>
      </c>
      <c r="AE25" s="187"/>
      <c r="AF25" s="186">
        <f t="shared" si="0"/>
        <v>559698.43999999994</v>
      </c>
    </row>
    <row r="26" spans="1:34" ht="13.5" thickBot="1" x14ac:dyDescent="0.35">
      <c r="A26" s="185"/>
      <c r="B26" s="185"/>
      <c r="C26" s="185"/>
      <c r="D26" s="185"/>
      <c r="E26" s="185" t="s">
        <v>180</v>
      </c>
      <c r="F26" s="185"/>
      <c r="G26" s="185"/>
      <c r="H26" s="186">
        <v>0</v>
      </c>
      <c r="I26" s="187"/>
      <c r="J26" s="186">
        <v>8705.58</v>
      </c>
      <c r="K26" s="187"/>
      <c r="L26" s="186">
        <v>0</v>
      </c>
      <c r="M26" s="187"/>
      <c r="N26" s="186">
        <v>0</v>
      </c>
      <c r="O26" s="187"/>
      <c r="P26" s="186">
        <v>0</v>
      </c>
      <c r="Q26" s="187"/>
      <c r="R26" s="186">
        <v>26</v>
      </c>
      <c r="S26" s="187"/>
      <c r="T26" s="186">
        <v>0</v>
      </c>
      <c r="U26" s="187"/>
      <c r="V26" s="186">
        <v>1370.9</v>
      </c>
      <c r="W26" s="187"/>
      <c r="X26" s="186">
        <v>0</v>
      </c>
      <c r="Y26" s="187"/>
      <c r="Z26" s="186">
        <v>0</v>
      </c>
      <c r="AA26" s="187"/>
      <c r="AB26" s="186">
        <v>0</v>
      </c>
      <c r="AC26" s="187"/>
      <c r="AD26" s="186">
        <v>0</v>
      </c>
      <c r="AE26" s="187"/>
      <c r="AF26" s="186">
        <f t="shared" si="0"/>
        <v>10102.48</v>
      </c>
      <c r="AH26" s="189"/>
    </row>
    <row r="27" spans="1:34" ht="13.5" thickBot="1" x14ac:dyDescent="0.35">
      <c r="A27" s="185"/>
      <c r="B27" s="185"/>
      <c r="C27" s="185"/>
      <c r="D27" s="185" t="s">
        <v>181</v>
      </c>
      <c r="E27" s="185"/>
      <c r="F27" s="185"/>
      <c r="G27" s="185"/>
      <c r="H27" s="191">
        <f>ROUND(H3+H6+H9+H12+H16+H20+SUM(H25:H26),5)</f>
        <v>111392.74</v>
      </c>
      <c r="I27" s="187"/>
      <c r="J27" s="191">
        <f>ROUND(J3+J6+J9+J12+J16+J20+SUM(J25:J26),5)</f>
        <v>119189.61</v>
      </c>
      <c r="K27" s="187"/>
      <c r="L27" s="191">
        <f>ROUND(L3+L6+L9+L12+L16+L20+SUM(L25:L26),5)</f>
        <v>92076.95</v>
      </c>
      <c r="M27" s="187"/>
      <c r="N27" s="191">
        <f>ROUND(N3+N6+N9+N12+N16+N20+SUM(N25:N26),5)</f>
        <v>200102.83</v>
      </c>
      <c r="O27" s="187"/>
      <c r="P27" s="191">
        <f>ROUND(P3+P6+P9+P12+P16+P20+SUM(P25:P26),5)</f>
        <v>159653.25</v>
      </c>
      <c r="Q27" s="187"/>
      <c r="R27" s="191">
        <f>ROUND(R3+R6+R9+R12+R16+R20+SUM(R25:R26),5)</f>
        <v>137023.03</v>
      </c>
      <c r="S27" s="187"/>
      <c r="T27" s="191">
        <f>ROUND(T3+T6+T9+T12+T16+T20+SUM(T25:T26),5)</f>
        <v>129742.29</v>
      </c>
      <c r="U27" s="187"/>
      <c r="V27" s="191">
        <f>ROUND(V3+V6+V9+V12+V16+V20+SUM(V25:V26),5)</f>
        <v>136832.97</v>
      </c>
      <c r="W27" s="187"/>
      <c r="X27" s="191">
        <f>ROUND(X3+X6+X9+X12+X16+X20+SUM(X25:X26),5)</f>
        <v>126997.29</v>
      </c>
      <c r="Y27" s="187"/>
      <c r="Z27" s="191">
        <f>ROUND(Z3+Z6+Z9+Z12+Z16+Z20+SUM(Z25:Z26),5)</f>
        <v>139113.155</v>
      </c>
      <c r="AA27" s="187"/>
      <c r="AB27" s="191">
        <f>ROUND(AB3+AB6+AB9+AB12+AB16+AB20+SUM(AB25:AB26),5)</f>
        <v>140913.155</v>
      </c>
      <c r="AC27" s="187"/>
      <c r="AD27" s="191">
        <f>ROUND(AD3+AD6+AD9+AD12+AD16+AD20+SUM(AD25:AD26),5)</f>
        <v>139113.155</v>
      </c>
      <c r="AE27" s="187"/>
      <c r="AF27" s="191">
        <f t="shared" si="0"/>
        <v>1632150.425</v>
      </c>
    </row>
    <row r="28" spans="1:34" x14ac:dyDescent="0.3">
      <c r="A28" s="185"/>
      <c r="B28" s="185"/>
      <c r="C28" s="185" t="s">
        <v>182</v>
      </c>
      <c r="D28" s="185"/>
      <c r="E28" s="185"/>
      <c r="F28" s="185"/>
      <c r="G28" s="185"/>
      <c r="H28" s="186">
        <f>H27</f>
        <v>111392.74</v>
      </c>
      <c r="I28" s="187"/>
      <c r="J28" s="186">
        <f>J27</f>
        <v>119189.61</v>
      </c>
      <c r="K28" s="187"/>
      <c r="L28" s="186">
        <f>L27</f>
        <v>92076.95</v>
      </c>
      <c r="M28" s="187"/>
      <c r="N28" s="186">
        <f>N27</f>
        <v>200102.83</v>
      </c>
      <c r="O28" s="187"/>
      <c r="P28" s="186">
        <f>P27</f>
        <v>159653.25</v>
      </c>
      <c r="Q28" s="187"/>
      <c r="R28" s="186">
        <f>R27</f>
        <v>137023.03</v>
      </c>
      <c r="S28" s="187"/>
      <c r="T28" s="186">
        <f>T27</f>
        <v>129742.29</v>
      </c>
      <c r="U28" s="187"/>
      <c r="V28" s="186">
        <f>V27</f>
        <v>136832.97</v>
      </c>
      <c r="W28" s="187"/>
      <c r="X28" s="186">
        <f>X27</f>
        <v>126997.29</v>
      </c>
      <c r="Y28" s="187"/>
      <c r="Z28" s="186">
        <f>Z27</f>
        <v>139113.155</v>
      </c>
      <c r="AA28" s="187"/>
      <c r="AB28" s="186">
        <f>AB27</f>
        <v>140913.155</v>
      </c>
      <c r="AC28" s="187"/>
      <c r="AD28" s="186">
        <f>AD27</f>
        <v>139113.155</v>
      </c>
      <c r="AE28" s="187"/>
      <c r="AF28" s="186">
        <f t="shared" si="0"/>
        <v>1632150.425</v>
      </c>
    </row>
    <row r="29" spans="1:34" x14ac:dyDescent="0.3">
      <c r="A29" s="185"/>
      <c r="B29" s="185"/>
      <c r="C29" s="185"/>
      <c r="D29" s="185" t="s">
        <v>183</v>
      </c>
      <c r="E29" s="185"/>
      <c r="F29" s="185"/>
      <c r="G29" s="185"/>
      <c r="H29" s="186"/>
      <c r="I29" s="187"/>
      <c r="J29" s="186"/>
      <c r="K29" s="187"/>
      <c r="L29" s="186"/>
      <c r="M29" s="187"/>
      <c r="N29" s="186"/>
      <c r="O29" s="187"/>
      <c r="P29" s="186"/>
      <c r="Q29" s="187"/>
      <c r="R29" s="186"/>
      <c r="S29" s="187"/>
      <c r="T29" s="186"/>
      <c r="U29" s="187"/>
      <c r="V29" s="186"/>
      <c r="W29" s="187"/>
      <c r="X29" s="186"/>
      <c r="Y29" s="187"/>
      <c r="Z29" s="186"/>
      <c r="AA29" s="187"/>
      <c r="AB29" s="186"/>
      <c r="AC29" s="187"/>
      <c r="AD29" s="186"/>
      <c r="AE29" s="187"/>
      <c r="AF29" s="186"/>
    </row>
    <row r="30" spans="1:34" x14ac:dyDescent="0.3">
      <c r="A30" s="185"/>
      <c r="B30" s="185"/>
      <c r="C30" s="185"/>
      <c r="D30" s="185"/>
      <c r="E30" s="185" t="s">
        <v>184</v>
      </c>
      <c r="F30" s="185"/>
      <c r="G30" s="185"/>
      <c r="H30" s="186"/>
      <c r="I30" s="187"/>
      <c r="J30" s="186"/>
      <c r="K30" s="187"/>
      <c r="L30" s="186"/>
      <c r="M30" s="187"/>
      <c r="N30" s="186"/>
      <c r="O30" s="187"/>
      <c r="P30" s="186"/>
      <c r="Q30" s="187"/>
      <c r="R30" s="186"/>
      <c r="S30" s="187"/>
      <c r="T30" s="186"/>
      <c r="U30" s="187"/>
      <c r="V30" s="186"/>
      <c r="W30" s="187"/>
      <c r="X30" s="186"/>
      <c r="Y30" s="187"/>
      <c r="Z30" s="186"/>
      <c r="AA30" s="187"/>
      <c r="AB30" s="186"/>
      <c r="AC30" s="187"/>
      <c r="AD30" s="186"/>
      <c r="AE30" s="187"/>
      <c r="AF30" s="186"/>
    </row>
    <row r="31" spans="1:34" x14ac:dyDescent="0.3">
      <c r="A31" s="185"/>
      <c r="B31" s="185"/>
      <c r="C31" s="185"/>
      <c r="D31" s="185"/>
      <c r="E31" s="185"/>
      <c r="F31" s="185" t="s">
        <v>185</v>
      </c>
      <c r="G31" s="185"/>
      <c r="H31" s="186">
        <v>32295.7</v>
      </c>
      <c r="I31" s="187"/>
      <c r="J31" s="186">
        <v>32295.7</v>
      </c>
      <c r="K31" s="187"/>
      <c r="L31" s="186">
        <v>32117.84</v>
      </c>
      <c r="M31" s="187"/>
      <c r="N31" s="186">
        <v>32687.84</v>
      </c>
      <c r="O31" s="187"/>
      <c r="P31" s="186">
        <v>31682.32</v>
      </c>
      <c r="Q31" s="187"/>
      <c r="R31" s="186">
        <v>34149.800000000003</v>
      </c>
      <c r="S31" s="187"/>
      <c r="T31" s="186">
        <v>34414.949999999997</v>
      </c>
      <c r="U31" s="187"/>
      <c r="V31" s="186">
        <v>33338.74</v>
      </c>
      <c r="W31" s="187"/>
      <c r="X31" s="186">
        <v>34914.53</v>
      </c>
      <c r="Y31" s="187"/>
      <c r="Z31" s="186">
        <v>32204.71</v>
      </c>
      <c r="AA31" s="187"/>
      <c r="AB31" s="186">
        <v>32204.71</v>
      </c>
      <c r="AC31" s="187"/>
      <c r="AD31" s="186">
        <v>32204.71</v>
      </c>
      <c r="AE31" s="187"/>
      <c r="AF31" s="186">
        <f t="shared" ref="AF31:AF37" si="1">ROUND(SUM(H31:AD31),5)</f>
        <v>394511.55</v>
      </c>
    </row>
    <row r="32" spans="1:34" x14ac:dyDescent="0.3">
      <c r="A32" s="185"/>
      <c r="B32" s="185"/>
      <c r="C32" s="185"/>
      <c r="D32" s="185"/>
      <c r="E32" s="185"/>
      <c r="F32" s="185" t="s">
        <v>186</v>
      </c>
      <c r="G32" s="185"/>
      <c r="H32" s="186">
        <v>4223</v>
      </c>
      <c r="I32" s="187"/>
      <c r="J32" s="186">
        <v>4223</v>
      </c>
      <c r="K32" s="187"/>
      <c r="L32" s="186">
        <v>4349.7</v>
      </c>
      <c r="M32" s="187"/>
      <c r="N32" s="186">
        <v>4349.7</v>
      </c>
      <c r="O32" s="187"/>
      <c r="P32" s="186">
        <v>4349.7</v>
      </c>
      <c r="Q32" s="187"/>
      <c r="R32" s="186">
        <v>4349.7</v>
      </c>
      <c r="S32" s="187"/>
      <c r="T32" s="186">
        <v>4349.7</v>
      </c>
      <c r="U32" s="187"/>
      <c r="V32" s="186">
        <v>4349.7</v>
      </c>
      <c r="W32" s="187"/>
      <c r="X32" s="186">
        <v>4349.7</v>
      </c>
      <c r="Y32" s="187"/>
      <c r="Z32" s="186">
        <v>4349.7</v>
      </c>
      <c r="AA32" s="187"/>
      <c r="AB32" s="186">
        <v>4349.7</v>
      </c>
      <c r="AC32" s="187"/>
      <c r="AD32" s="186">
        <v>4349.7</v>
      </c>
      <c r="AE32" s="187"/>
      <c r="AF32" s="186">
        <f t="shared" si="1"/>
        <v>51943</v>
      </c>
      <c r="AH32" s="257"/>
    </row>
    <row r="33" spans="1:34" x14ac:dyDescent="0.3">
      <c r="A33" s="185"/>
      <c r="B33" s="185"/>
      <c r="C33" s="185"/>
      <c r="D33" s="185"/>
      <c r="E33" s="185"/>
      <c r="F33" s="185" t="s">
        <v>187</v>
      </c>
      <c r="G33" s="185"/>
      <c r="H33" s="186">
        <v>7495.06</v>
      </c>
      <c r="I33" s="187"/>
      <c r="J33" s="186">
        <v>7719.9</v>
      </c>
      <c r="K33" s="187"/>
      <c r="L33" s="186">
        <v>7719.9</v>
      </c>
      <c r="M33" s="187"/>
      <c r="N33" s="186">
        <v>7719.9</v>
      </c>
      <c r="O33" s="187"/>
      <c r="P33" s="186">
        <v>7719.9</v>
      </c>
      <c r="Q33" s="187"/>
      <c r="R33" s="186">
        <v>7719.9</v>
      </c>
      <c r="S33" s="187"/>
      <c r="T33" s="186">
        <v>7719.9</v>
      </c>
      <c r="U33" s="187"/>
      <c r="V33" s="186">
        <v>7719.9</v>
      </c>
      <c r="W33" s="187"/>
      <c r="X33" s="186">
        <v>7719.9</v>
      </c>
      <c r="Y33" s="187"/>
      <c r="Z33" s="186">
        <v>7719.9</v>
      </c>
      <c r="AA33" s="187"/>
      <c r="AB33" s="186">
        <v>7719.9</v>
      </c>
      <c r="AC33" s="187"/>
      <c r="AD33" s="186">
        <v>7719.9</v>
      </c>
      <c r="AE33" s="187"/>
      <c r="AF33" s="186">
        <f t="shared" si="1"/>
        <v>92413.96</v>
      </c>
    </row>
    <row r="34" spans="1:34" x14ac:dyDescent="0.3">
      <c r="A34" s="185"/>
      <c r="B34" s="185"/>
      <c r="C34" s="185"/>
      <c r="D34" s="185"/>
      <c r="E34" s="185"/>
      <c r="F34" s="185" t="s">
        <v>328</v>
      </c>
      <c r="G34" s="185"/>
      <c r="H34" s="186">
        <v>0</v>
      </c>
      <c r="I34" s="187"/>
      <c r="J34" s="186">
        <v>0</v>
      </c>
      <c r="K34" s="187"/>
      <c r="L34" s="186">
        <v>0</v>
      </c>
      <c r="M34" s="187"/>
      <c r="N34" s="186">
        <v>2415</v>
      </c>
      <c r="O34" s="187"/>
      <c r="P34" s="186">
        <v>1960</v>
      </c>
      <c r="Q34" s="187"/>
      <c r="R34" s="186">
        <v>1960</v>
      </c>
      <c r="S34" s="187"/>
      <c r="T34" s="186">
        <v>770</v>
      </c>
      <c r="U34" s="187"/>
      <c r="V34" s="186">
        <v>1575</v>
      </c>
      <c r="W34" s="187"/>
      <c r="X34" s="186">
        <v>1610</v>
      </c>
      <c r="Y34" s="187"/>
      <c r="Z34" s="186">
        <v>1750</v>
      </c>
      <c r="AA34" s="187"/>
      <c r="AB34" s="186">
        <v>1750</v>
      </c>
      <c r="AC34" s="187"/>
      <c r="AD34" s="186">
        <v>1750</v>
      </c>
      <c r="AE34" s="187"/>
      <c r="AF34" s="186">
        <f t="shared" si="1"/>
        <v>15540</v>
      </c>
    </row>
    <row r="35" spans="1:34" x14ac:dyDescent="0.3">
      <c r="A35" s="185"/>
      <c r="B35" s="185"/>
      <c r="C35" s="185"/>
      <c r="D35" s="185"/>
      <c r="E35" s="185"/>
      <c r="F35" s="185" t="s">
        <v>188</v>
      </c>
      <c r="G35" s="185"/>
      <c r="H35" s="186">
        <v>9826.66</v>
      </c>
      <c r="I35" s="187"/>
      <c r="J35" s="186">
        <v>14908.82</v>
      </c>
      <c r="K35" s="187"/>
      <c r="L35" s="186">
        <v>11398.66</v>
      </c>
      <c r="M35" s="187"/>
      <c r="N35" s="186">
        <v>11608.66</v>
      </c>
      <c r="O35" s="187"/>
      <c r="P35" s="186">
        <v>11638.66</v>
      </c>
      <c r="Q35" s="187"/>
      <c r="R35" s="186">
        <v>11728.66</v>
      </c>
      <c r="S35" s="187"/>
      <c r="T35" s="186">
        <v>11043.62</v>
      </c>
      <c r="U35" s="187"/>
      <c r="V35" s="186">
        <v>10904</v>
      </c>
      <c r="W35" s="187"/>
      <c r="X35" s="186">
        <v>9906.98</v>
      </c>
      <c r="Y35" s="187"/>
      <c r="Z35" s="186">
        <v>10810.9</v>
      </c>
      <c r="AA35" s="187"/>
      <c r="AB35" s="186">
        <v>10810.9</v>
      </c>
      <c r="AC35" s="187"/>
      <c r="AD35" s="186">
        <v>10810.9</v>
      </c>
      <c r="AE35" s="187"/>
      <c r="AF35" s="186">
        <f t="shared" si="1"/>
        <v>135397.42000000001</v>
      </c>
    </row>
    <row r="36" spans="1:34" ht="13.5" thickBot="1" x14ac:dyDescent="0.35">
      <c r="A36" s="185"/>
      <c r="B36" s="185"/>
      <c r="C36" s="185"/>
      <c r="D36" s="185"/>
      <c r="E36" s="185"/>
      <c r="F36" s="185" t="s">
        <v>189</v>
      </c>
      <c r="G36" s="185"/>
      <c r="H36" s="188">
        <v>3194.28</v>
      </c>
      <c r="I36" s="187"/>
      <c r="J36" s="188">
        <v>0</v>
      </c>
      <c r="K36" s="187"/>
      <c r="L36" s="188">
        <v>0</v>
      </c>
      <c r="M36" s="187"/>
      <c r="N36" s="188">
        <v>0</v>
      </c>
      <c r="O36" s="187"/>
      <c r="P36" s="188">
        <v>0</v>
      </c>
      <c r="Q36" s="187"/>
      <c r="R36" s="188">
        <v>0</v>
      </c>
      <c r="S36" s="187"/>
      <c r="T36" s="188">
        <v>0</v>
      </c>
      <c r="U36" s="187"/>
      <c r="V36" s="188">
        <v>0</v>
      </c>
      <c r="W36" s="187"/>
      <c r="X36" s="188">
        <v>0</v>
      </c>
      <c r="Y36" s="187"/>
      <c r="Z36" s="188">
        <v>0</v>
      </c>
      <c r="AA36" s="187"/>
      <c r="AB36" s="188">
        <v>0</v>
      </c>
      <c r="AC36" s="187"/>
      <c r="AD36" s="188">
        <v>0</v>
      </c>
      <c r="AE36" s="187"/>
      <c r="AF36" s="188">
        <f t="shared" si="1"/>
        <v>3194.28</v>
      </c>
    </row>
    <row r="37" spans="1:34" x14ac:dyDescent="0.3">
      <c r="A37" s="185"/>
      <c r="B37" s="185"/>
      <c r="C37" s="185"/>
      <c r="D37" s="185"/>
      <c r="E37" s="185" t="s">
        <v>190</v>
      </c>
      <c r="F37" s="185"/>
      <c r="G37" s="185"/>
      <c r="H37" s="186">
        <f>ROUND(SUM(H30:H36),5)</f>
        <v>57034.7</v>
      </c>
      <c r="I37" s="187"/>
      <c r="J37" s="186">
        <f>ROUND(SUM(J30:J36),5)</f>
        <v>59147.42</v>
      </c>
      <c r="K37" s="187"/>
      <c r="L37" s="186">
        <f>ROUND(SUM(L30:L36),5)</f>
        <v>55586.1</v>
      </c>
      <c r="M37" s="187"/>
      <c r="N37" s="186">
        <f>ROUND(SUM(N30:N36),5)</f>
        <v>58781.1</v>
      </c>
      <c r="O37" s="187"/>
      <c r="P37" s="186">
        <f>ROUND(SUM(P30:P36),5)</f>
        <v>57350.58</v>
      </c>
      <c r="Q37" s="187"/>
      <c r="R37" s="186">
        <f>ROUND(SUM(R30:R36),5)</f>
        <v>59908.06</v>
      </c>
      <c r="S37" s="187"/>
      <c r="T37" s="186">
        <f>ROUND(SUM(T30:T36),5)</f>
        <v>58298.17</v>
      </c>
      <c r="U37" s="187"/>
      <c r="V37" s="186">
        <f>ROUND(SUM(V30:V36),5)</f>
        <v>57887.34</v>
      </c>
      <c r="W37" s="187"/>
      <c r="X37" s="186">
        <f>ROUND(SUM(X30:X36),5)</f>
        <v>58501.11</v>
      </c>
      <c r="Y37" s="187"/>
      <c r="Z37" s="186">
        <f>ROUND(SUM(Z30:Z36),5)</f>
        <v>56835.21</v>
      </c>
      <c r="AA37" s="187"/>
      <c r="AB37" s="186">
        <f>ROUND(SUM(AB30:AB36),5)</f>
        <v>56835.21</v>
      </c>
      <c r="AC37" s="187"/>
      <c r="AD37" s="186">
        <f>ROUND(SUM(AD30:AD36),5)</f>
        <v>56835.21</v>
      </c>
      <c r="AE37" s="187"/>
      <c r="AF37" s="186">
        <f t="shared" si="1"/>
        <v>693000.21</v>
      </c>
    </row>
    <row r="38" spans="1:34" x14ac:dyDescent="0.3">
      <c r="A38" s="185"/>
      <c r="B38" s="185"/>
      <c r="C38" s="185"/>
      <c r="D38" s="185"/>
      <c r="E38" s="185" t="s">
        <v>191</v>
      </c>
      <c r="F38" s="185"/>
      <c r="G38" s="185"/>
      <c r="H38" s="186"/>
      <c r="I38" s="187"/>
      <c r="J38" s="186"/>
      <c r="K38" s="187"/>
      <c r="L38" s="186"/>
      <c r="M38" s="187"/>
      <c r="N38" s="186"/>
      <c r="O38" s="187"/>
      <c r="P38" s="186"/>
      <c r="Q38" s="187"/>
      <c r="R38" s="186"/>
      <c r="S38" s="187"/>
      <c r="T38" s="186"/>
      <c r="U38" s="187"/>
      <c r="V38" s="186"/>
      <c r="W38" s="187"/>
      <c r="X38" s="186"/>
      <c r="Y38" s="187"/>
      <c r="Z38" s="186"/>
      <c r="AA38" s="187"/>
      <c r="AB38" s="186"/>
      <c r="AC38" s="187"/>
      <c r="AD38" s="186"/>
      <c r="AE38" s="187"/>
      <c r="AF38" s="186"/>
    </row>
    <row r="39" spans="1:34" x14ac:dyDescent="0.3">
      <c r="A39" s="185"/>
      <c r="B39" s="185"/>
      <c r="C39" s="185"/>
      <c r="D39" s="185"/>
      <c r="E39" s="185"/>
      <c r="F39" s="185" t="s">
        <v>192</v>
      </c>
      <c r="G39" s="185"/>
      <c r="H39" s="186">
        <v>7537.66</v>
      </c>
      <c r="I39" s="187"/>
      <c r="J39" s="186">
        <v>7440.65</v>
      </c>
      <c r="K39" s="187"/>
      <c r="L39" s="186">
        <v>7373.72</v>
      </c>
      <c r="M39" s="187"/>
      <c r="N39" s="186">
        <v>7821.02</v>
      </c>
      <c r="O39" s="187"/>
      <c r="P39" s="186">
        <v>7620.75</v>
      </c>
      <c r="Q39" s="187"/>
      <c r="R39" s="186">
        <v>7768.79</v>
      </c>
      <c r="S39" s="187"/>
      <c r="T39" s="186">
        <v>7808.72</v>
      </c>
      <c r="U39" s="187"/>
      <c r="V39" s="186">
        <v>7790.34</v>
      </c>
      <c r="W39" s="187"/>
      <c r="X39" s="186">
        <v>8032.65</v>
      </c>
      <c r="Y39" s="187"/>
      <c r="Z39" s="186">
        <v>7656.08</v>
      </c>
      <c r="AA39" s="187"/>
      <c r="AB39" s="186">
        <v>7656.08</v>
      </c>
      <c r="AC39" s="187"/>
      <c r="AD39" s="186">
        <v>7656.08</v>
      </c>
      <c r="AE39" s="187"/>
      <c r="AF39" s="186">
        <f t="shared" ref="AF39:AF46" si="2">ROUND(SUM(H39:AD39),5)</f>
        <v>92162.54</v>
      </c>
    </row>
    <row r="40" spans="1:34" x14ac:dyDescent="0.3">
      <c r="A40" s="185"/>
      <c r="B40" s="185"/>
      <c r="C40" s="185"/>
      <c r="D40" s="185"/>
      <c r="E40" s="185"/>
      <c r="F40" s="185" t="s">
        <v>193</v>
      </c>
      <c r="G40" s="185"/>
      <c r="H40" s="186">
        <v>0</v>
      </c>
      <c r="I40" s="187"/>
      <c r="J40" s="186">
        <v>0</v>
      </c>
      <c r="K40" s="187"/>
      <c r="L40" s="186">
        <v>0</v>
      </c>
      <c r="M40" s="187"/>
      <c r="N40" s="186">
        <v>0</v>
      </c>
      <c r="O40" s="187"/>
      <c r="P40" s="186">
        <v>0</v>
      </c>
      <c r="Q40" s="187"/>
      <c r="R40" s="186">
        <v>0</v>
      </c>
      <c r="S40" s="187"/>
      <c r="T40" s="186">
        <v>0</v>
      </c>
      <c r="U40" s="187"/>
      <c r="V40" s="186">
        <v>0</v>
      </c>
      <c r="W40" s="187"/>
      <c r="X40" s="186">
        <v>0</v>
      </c>
      <c r="Y40" s="187"/>
      <c r="Z40" s="186">
        <v>0</v>
      </c>
      <c r="AA40" s="187"/>
      <c r="AB40" s="186">
        <v>0</v>
      </c>
      <c r="AC40" s="187"/>
      <c r="AD40" s="186">
        <v>0</v>
      </c>
      <c r="AE40" s="187"/>
      <c r="AF40" s="186">
        <f t="shared" si="2"/>
        <v>0</v>
      </c>
    </row>
    <row r="41" spans="1:34" x14ac:dyDescent="0.3">
      <c r="A41" s="185"/>
      <c r="B41" s="185"/>
      <c r="C41" s="185"/>
      <c r="D41" s="185"/>
      <c r="E41" s="185"/>
      <c r="F41" s="185" t="s">
        <v>194</v>
      </c>
      <c r="G41" s="185"/>
      <c r="H41" s="186">
        <v>3300.01</v>
      </c>
      <c r="I41" s="187"/>
      <c r="J41" s="186">
        <v>3310.78</v>
      </c>
      <c r="K41" s="187"/>
      <c r="L41" s="186">
        <v>-3608.77</v>
      </c>
      <c r="M41" s="187"/>
      <c r="N41" s="186">
        <v>-758.96</v>
      </c>
      <c r="O41" s="187"/>
      <c r="P41" s="186">
        <v>2780.38</v>
      </c>
      <c r="Q41" s="187"/>
      <c r="R41" s="186">
        <v>-3363.75</v>
      </c>
      <c r="S41" s="187"/>
      <c r="T41" s="186">
        <v>701.52</v>
      </c>
      <c r="U41" s="187"/>
      <c r="V41" s="186">
        <v>2535.39</v>
      </c>
      <c r="W41" s="187"/>
      <c r="X41" s="186">
        <v>6576.28</v>
      </c>
      <c r="Y41" s="187"/>
      <c r="Z41" s="186">
        <v>6036.74</v>
      </c>
      <c r="AA41" s="187"/>
      <c r="AB41" s="186">
        <v>6036.74</v>
      </c>
      <c r="AC41" s="187"/>
      <c r="AD41" s="186">
        <v>6036.74</v>
      </c>
      <c r="AE41" s="187"/>
      <c r="AF41" s="186">
        <f t="shared" si="2"/>
        <v>29583.1</v>
      </c>
    </row>
    <row r="42" spans="1:34" x14ac:dyDescent="0.3">
      <c r="A42" s="185"/>
      <c r="B42" s="185"/>
      <c r="C42" s="185"/>
      <c r="D42" s="185"/>
      <c r="E42" s="185"/>
      <c r="F42" s="185" t="s">
        <v>195</v>
      </c>
      <c r="G42" s="185"/>
      <c r="H42" s="186">
        <v>447.2</v>
      </c>
      <c r="I42" s="187"/>
      <c r="J42" s="186">
        <v>1242.31</v>
      </c>
      <c r="K42" s="187"/>
      <c r="L42" s="186">
        <v>408.34</v>
      </c>
      <c r="M42" s="187"/>
      <c r="N42" s="186">
        <v>408.34</v>
      </c>
      <c r="O42" s="187"/>
      <c r="P42" s="186">
        <v>408.34</v>
      </c>
      <c r="Q42" s="187"/>
      <c r="R42" s="186">
        <v>408.34</v>
      </c>
      <c r="S42" s="187"/>
      <c r="T42" s="186">
        <v>353.03</v>
      </c>
      <c r="U42" s="187"/>
      <c r="V42" s="186">
        <v>313.88</v>
      </c>
      <c r="W42" s="187"/>
      <c r="X42" s="186">
        <v>3473.5</v>
      </c>
      <c r="Y42" s="187"/>
      <c r="Z42" s="186">
        <v>385</v>
      </c>
      <c r="AA42" s="187"/>
      <c r="AB42" s="186">
        <v>385</v>
      </c>
      <c r="AC42" s="187"/>
      <c r="AD42" s="186">
        <v>385</v>
      </c>
      <c r="AE42" s="187"/>
      <c r="AF42" s="186">
        <f t="shared" si="2"/>
        <v>8618.2800000000007</v>
      </c>
    </row>
    <row r="43" spans="1:34" x14ac:dyDescent="0.3">
      <c r="A43" s="185"/>
      <c r="B43" s="185"/>
      <c r="C43" s="185"/>
      <c r="D43" s="185"/>
      <c r="E43" s="185"/>
      <c r="F43" s="185" t="s">
        <v>196</v>
      </c>
      <c r="G43" s="185"/>
      <c r="H43" s="186">
        <v>826.98</v>
      </c>
      <c r="I43" s="187"/>
      <c r="J43" s="186">
        <v>857.63</v>
      </c>
      <c r="K43" s="187"/>
      <c r="L43" s="186">
        <v>806.01</v>
      </c>
      <c r="M43" s="187"/>
      <c r="N43" s="186">
        <v>852.33</v>
      </c>
      <c r="O43" s="187"/>
      <c r="P43" s="186">
        <v>831.59</v>
      </c>
      <c r="Q43" s="187"/>
      <c r="R43" s="186">
        <v>868.65</v>
      </c>
      <c r="S43" s="187"/>
      <c r="T43" s="186">
        <v>845.32</v>
      </c>
      <c r="U43" s="187"/>
      <c r="V43" s="186">
        <v>839.36</v>
      </c>
      <c r="W43" s="187"/>
      <c r="X43" s="186">
        <v>848.29</v>
      </c>
      <c r="Y43" s="187"/>
      <c r="Z43" s="186">
        <v>824.1</v>
      </c>
      <c r="AA43" s="187"/>
      <c r="AB43" s="186">
        <v>824.1</v>
      </c>
      <c r="AC43" s="187"/>
      <c r="AD43" s="186">
        <v>824.1</v>
      </c>
      <c r="AE43" s="187"/>
      <c r="AF43" s="186">
        <f t="shared" si="2"/>
        <v>10048.459999999999</v>
      </c>
    </row>
    <row r="44" spans="1:34" x14ac:dyDescent="0.3">
      <c r="A44" s="185"/>
      <c r="B44" s="185"/>
      <c r="C44" s="185"/>
      <c r="D44" s="185"/>
      <c r="E44" s="185"/>
      <c r="F44" s="185" t="s">
        <v>197</v>
      </c>
      <c r="G44" s="185"/>
      <c r="H44" s="186">
        <v>1342</v>
      </c>
      <c r="I44" s="187"/>
      <c r="J44" s="186">
        <v>0</v>
      </c>
      <c r="K44" s="187"/>
      <c r="L44" s="186">
        <v>0</v>
      </c>
      <c r="M44" s="187"/>
      <c r="N44" s="186">
        <v>0</v>
      </c>
      <c r="O44" s="187"/>
      <c r="P44" s="186">
        <v>0</v>
      </c>
      <c r="Q44" s="187"/>
      <c r="R44" s="186">
        <v>0</v>
      </c>
      <c r="S44" s="187"/>
      <c r="T44" s="186">
        <v>0</v>
      </c>
      <c r="U44" s="187"/>
      <c r="V44" s="186">
        <v>0</v>
      </c>
      <c r="W44" s="187"/>
      <c r="X44" s="186">
        <v>0</v>
      </c>
      <c r="Y44" s="187"/>
      <c r="Z44" s="186">
        <v>0</v>
      </c>
      <c r="AA44" s="187"/>
      <c r="AB44" s="186">
        <v>0</v>
      </c>
      <c r="AC44" s="187"/>
      <c r="AD44" s="186">
        <v>0</v>
      </c>
      <c r="AE44" s="187"/>
      <c r="AF44" s="186">
        <f t="shared" si="2"/>
        <v>1342</v>
      </c>
    </row>
    <row r="45" spans="1:34" ht="13.5" thickBot="1" x14ac:dyDescent="0.35">
      <c r="A45" s="185"/>
      <c r="B45" s="185"/>
      <c r="C45" s="185"/>
      <c r="D45" s="185"/>
      <c r="E45" s="185"/>
      <c r="F45" s="185" t="s">
        <v>329</v>
      </c>
      <c r="G45" s="185"/>
      <c r="H45" s="188">
        <v>0</v>
      </c>
      <c r="I45" s="187"/>
      <c r="J45" s="188">
        <v>0</v>
      </c>
      <c r="K45" s="187"/>
      <c r="L45" s="188">
        <v>-12.21</v>
      </c>
      <c r="M45" s="187"/>
      <c r="N45" s="188">
        <v>0</v>
      </c>
      <c r="O45" s="187"/>
      <c r="P45" s="188">
        <v>1880.59</v>
      </c>
      <c r="Q45" s="187"/>
      <c r="R45" s="188">
        <v>0</v>
      </c>
      <c r="S45" s="187"/>
      <c r="T45" s="188">
        <v>0</v>
      </c>
      <c r="U45" s="187"/>
      <c r="V45" s="188">
        <v>0</v>
      </c>
      <c r="W45" s="187"/>
      <c r="X45" s="188">
        <v>0</v>
      </c>
      <c r="Y45" s="187"/>
      <c r="Z45" s="188">
        <v>0</v>
      </c>
      <c r="AA45" s="187"/>
      <c r="AB45" s="188">
        <v>0</v>
      </c>
      <c r="AC45" s="187"/>
      <c r="AD45" s="188">
        <v>0</v>
      </c>
      <c r="AE45" s="187"/>
      <c r="AF45" s="188">
        <f t="shared" si="2"/>
        <v>1868.38</v>
      </c>
    </row>
    <row r="46" spans="1:34" x14ac:dyDescent="0.3">
      <c r="A46" s="185"/>
      <c r="B46" s="185"/>
      <c r="C46" s="185"/>
      <c r="D46" s="185"/>
      <c r="E46" s="185" t="s">
        <v>198</v>
      </c>
      <c r="F46" s="185"/>
      <c r="G46" s="185"/>
      <c r="H46" s="186">
        <f>ROUND(SUM(H38:H45),5)</f>
        <v>13453.85</v>
      </c>
      <c r="I46" s="187"/>
      <c r="J46" s="186">
        <f>ROUND(SUM(J38:J45),5)</f>
        <v>12851.37</v>
      </c>
      <c r="K46" s="187"/>
      <c r="L46" s="186">
        <f>ROUND(SUM(L38:L45),5)</f>
        <v>4967.09</v>
      </c>
      <c r="M46" s="187"/>
      <c r="N46" s="186">
        <f>ROUND(SUM(N38:N45),5)</f>
        <v>8322.73</v>
      </c>
      <c r="O46" s="187"/>
      <c r="P46" s="186">
        <f>ROUND(SUM(P38:P45),5)</f>
        <v>13521.65</v>
      </c>
      <c r="Q46" s="187"/>
      <c r="R46" s="186">
        <f>ROUND(SUM(R38:R45),5)</f>
        <v>5682.03</v>
      </c>
      <c r="S46" s="187"/>
      <c r="T46" s="186">
        <f>ROUND(SUM(T38:T45),5)</f>
        <v>9708.59</v>
      </c>
      <c r="U46" s="187"/>
      <c r="V46" s="186">
        <f>ROUND(SUM(V38:V45),5)</f>
        <v>11478.97</v>
      </c>
      <c r="W46" s="187"/>
      <c r="X46" s="186">
        <f>ROUND(SUM(X38:X45),5)</f>
        <v>18930.72</v>
      </c>
      <c r="Y46" s="187"/>
      <c r="Z46" s="186">
        <f>ROUND(SUM(Z38:Z45),5)</f>
        <v>14901.92</v>
      </c>
      <c r="AA46" s="187"/>
      <c r="AB46" s="186">
        <f>ROUND(SUM(AB38:AB45),5)</f>
        <v>14901.92</v>
      </c>
      <c r="AC46" s="187"/>
      <c r="AD46" s="186">
        <f>ROUND(SUM(AD38:AD45),5)</f>
        <v>14901.92</v>
      </c>
      <c r="AE46" s="187"/>
      <c r="AF46" s="186">
        <f t="shared" si="2"/>
        <v>143622.76</v>
      </c>
      <c r="AH46" s="184">
        <f>+AF46/AF116</f>
        <v>9.0215110879948351E-2</v>
      </c>
    </row>
    <row r="47" spans="1:34" x14ac:dyDescent="0.3">
      <c r="A47" s="185"/>
      <c r="B47" s="185"/>
      <c r="C47" s="185"/>
      <c r="D47" s="185"/>
      <c r="E47" s="185" t="s">
        <v>199</v>
      </c>
      <c r="F47" s="185"/>
      <c r="G47" s="185"/>
      <c r="H47" s="186"/>
      <c r="I47" s="187"/>
      <c r="J47" s="186"/>
      <c r="K47" s="187"/>
      <c r="L47" s="186"/>
      <c r="M47" s="187"/>
      <c r="N47" s="186"/>
      <c r="O47" s="187"/>
      <c r="P47" s="186"/>
      <c r="Q47" s="187"/>
      <c r="R47" s="186"/>
      <c r="S47" s="187"/>
      <c r="T47" s="186"/>
      <c r="U47" s="187"/>
      <c r="V47" s="186"/>
      <c r="W47" s="187"/>
      <c r="X47" s="186"/>
      <c r="Y47" s="187"/>
      <c r="Z47" s="186"/>
      <c r="AA47" s="187"/>
      <c r="AB47" s="186"/>
      <c r="AC47" s="187"/>
      <c r="AD47" s="186"/>
      <c r="AE47" s="187"/>
      <c r="AF47" s="186"/>
    </row>
    <row r="48" spans="1:34" x14ac:dyDescent="0.3">
      <c r="A48" s="185"/>
      <c r="B48" s="185"/>
      <c r="C48" s="185"/>
      <c r="D48" s="185"/>
      <c r="E48" s="185"/>
      <c r="F48" s="185" t="s">
        <v>200</v>
      </c>
      <c r="G48" s="185"/>
      <c r="H48" s="186">
        <v>0</v>
      </c>
      <c r="I48" s="187"/>
      <c r="J48" s="186">
        <v>480</v>
      </c>
      <c r="K48" s="187"/>
      <c r="L48" s="186">
        <v>800</v>
      </c>
      <c r="M48" s="187"/>
      <c r="N48" s="186">
        <v>9953.2000000000007</v>
      </c>
      <c r="O48" s="187"/>
      <c r="P48" s="186">
        <v>3250</v>
      </c>
      <c r="Q48" s="187"/>
      <c r="R48" s="186">
        <v>6270</v>
      </c>
      <c r="S48" s="187"/>
      <c r="T48" s="186">
        <v>3290</v>
      </c>
      <c r="U48" s="187"/>
      <c r="V48" s="186">
        <v>7775</v>
      </c>
      <c r="W48" s="187"/>
      <c r="X48" s="186">
        <v>1600</v>
      </c>
      <c r="Y48" s="187"/>
      <c r="Z48" s="186">
        <f>+V48</f>
        <v>7775</v>
      </c>
      <c r="AA48" s="187"/>
      <c r="AB48" s="186">
        <v>2500</v>
      </c>
      <c r="AC48" s="187"/>
      <c r="AD48" s="186">
        <v>0</v>
      </c>
      <c r="AE48" s="187"/>
      <c r="AF48" s="186">
        <f t="shared" ref="AF48:AF63" si="3">ROUND(SUM(H48:AD48),5)</f>
        <v>43693.2</v>
      </c>
    </row>
    <row r="49" spans="1:32" x14ac:dyDescent="0.3">
      <c r="A49" s="185"/>
      <c r="B49" s="185"/>
      <c r="C49" s="185"/>
      <c r="D49" s="185"/>
      <c r="E49" s="185"/>
      <c r="F49" s="185" t="s">
        <v>203</v>
      </c>
      <c r="G49" s="185"/>
      <c r="H49" s="186">
        <v>0</v>
      </c>
      <c r="I49" s="187"/>
      <c r="J49" s="186">
        <v>0</v>
      </c>
      <c r="K49" s="187"/>
      <c r="L49" s="186">
        <v>62.79</v>
      </c>
      <c r="M49" s="187"/>
      <c r="N49" s="186">
        <v>1368.62</v>
      </c>
      <c r="O49" s="187"/>
      <c r="P49" s="186">
        <v>2023.1</v>
      </c>
      <c r="Q49" s="187"/>
      <c r="R49" s="186">
        <v>1327.81</v>
      </c>
      <c r="S49" s="187"/>
      <c r="T49" s="186">
        <v>0</v>
      </c>
      <c r="U49" s="187"/>
      <c r="V49" s="186">
        <v>789.34</v>
      </c>
      <c r="W49" s="187"/>
      <c r="X49" s="186">
        <v>830.74</v>
      </c>
      <c r="Y49" s="187"/>
      <c r="Z49" s="186">
        <v>830.74</v>
      </c>
      <c r="AA49" s="187"/>
      <c r="AB49" s="186">
        <v>830.74</v>
      </c>
      <c r="AC49" s="187"/>
      <c r="AD49" s="186">
        <v>0</v>
      </c>
      <c r="AE49" s="187"/>
      <c r="AF49" s="186">
        <f t="shared" si="3"/>
        <v>8063.88</v>
      </c>
    </row>
    <row r="50" spans="1:32" x14ac:dyDescent="0.3">
      <c r="A50" s="185"/>
      <c r="B50" s="185"/>
      <c r="C50" s="185"/>
      <c r="D50" s="185"/>
      <c r="E50" s="185"/>
      <c r="F50" s="185" t="s">
        <v>202</v>
      </c>
      <c r="G50" s="185"/>
      <c r="H50" s="186">
        <v>3752</v>
      </c>
      <c r="I50" s="187"/>
      <c r="J50" s="186">
        <v>2984</v>
      </c>
      <c r="K50" s="187"/>
      <c r="L50" s="186">
        <v>3750</v>
      </c>
      <c r="M50" s="187"/>
      <c r="N50" s="186">
        <v>2200</v>
      </c>
      <c r="O50" s="187"/>
      <c r="P50" s="186">
        <v>2200</v>
      </c>
      <c r="Q50" s="187"/>
      <c r="R50" s="186">
        <v>2200</v>
      </c>
      <c r="S50" s="187"/>
      <c r="T50" s="186">
        <v>2200</v>
      </c>
      <c r="U50" s="187"/>
      <c r="V50" s="186">
        <v>2200</v>
      </c>
      <c r="W50" s="187"/>
      <c r="X50" s="186">
        <v>2200</v>
      </c>
      <c r="Y50" s="187"/>
      <c r="Z50" s="186">
        <v>2200</v>
      </c>
      <c r="AA50" s="187"/>
      <c r="AB50" s="186">
        <v>2200</v>
      </c>
      <c r="AC50" s="187"/>
      <c r="AD50" s="186">
        <v>2200</v>
      </c>
      <c r="AE50" s="187"/>
      <c r="AF50" s="186">
        <f t="shared" si="3"/>
        <v>30286</v>
      </c>
    </row>
    <row r="51" spans="1:32" x14ac:dyDescent="0.3">
      <c r="A51" s="185"/>
      <c r="B51" s="185"/>
      <c r="C51" s="185"/>
      <c r="D51" s="185"/>
      <c r="E51" s="185"/>
      <c r="F51" s="185" t="s">
        <v>330</v>
      </c>
      <c r="G51" s="185"/>
      <c r="H51" s="186">
        <v>0</v>
      </c>
      <c r="I51" s="187"/>
      <c r="J51" s="186">
        <v>1170</v>
      </c>
      <c r="K51" s="187"/>
      <c r="L51" s="186">
        <v>0</v>
      </c>
      <c r="M51" s="187"/>
      <c r="N51" s="186">
        <v>125</v>
      </c>
      <c r="O51" s="187"/>
      <c r="P51" s="186">
        <v>295</v>
      </c>
      <c r="Q51" s="187"/>
      <c r="R51" s="186">
        <v>0</v>
      </c>
      <c r="S51" s="187"/>
      <c r="T51" s="186">
        <v>279</v>
      </c>
      <c r="U51" s="187"/>
      <c r="V51" s="186">
        <v>663</v>
      </c>
      <c r="W51" s="187"/>
      <c r="X51" s="186">
        <v>3725</v>
      </c>
      <c r="Y51" s="187"/>
      <c r="Z51" s="186">
        <v>0</v>
      </c>
      <c r="AA51" s="187"/>
      <c r="AB51" s="186">
        <v>0</v>
      </c>
      <c r="AC51" s="187"/>
      <c r="AD51" s="186">
        <v>6000</v>
      </c>
      <c r="AE51" s="187"/>
      <c r="AF51" s="186">
        <f t="shared" si="3"/>
        <v>12257</v>
      </c>
    </row>
    <row r="52" spans="1:32" x14ac:dyDescent="0.3">
      <c r="A52" s="185"/>
      <c r="B52" s="185"/>
      <c r="C52" s="185"/>
      <c r="D52" s="185"/>
      <c r="E52" s="185"/>
      <c r="F52" s="185" t="s">
        <v>204</v>
      </c>
      <c r="G52" s="185"/>
      <c r="H52" s="186">
        <v>2524.58</v>
      </c>
      <c r="I52" s="187"/>
      <c r="J52" s="186">
        <v>2826.87</v>
      </c>
      <c r="K52" s="187"/>
      <c r="L52" s="186">
        <v>2651.96</v>
      </c>
      <c r="M52" s="187"/>
      <c r="N52" s="186">
        <v>3182.96</v>
      </c>
      <c r="O52" s="187"/>
      <c r="P52" s="186">
        <v>2727.37</v>
      </c>
      <c r="Q52" s="187"/>
      <c r="R52" s="186">
        <v>2323.36</v>
      </c>
      <c r="S52" s="187"/>
      <c r="T52" s="186">
        <v>2545.63</v>
      </c>
      <c r="U52" s="187"/>
      <c r="V52" s="186">
        <v>2485.2600000000002</v>
      </c>
      <c r="W52" s="187"/>
      <c r="X52" s="186">
        <v>2499.12</v>
      </c>
      <c r="Y52" s="187"/>
      <c r="Z52" s="186">
        <f>SUM(Z16+Z20)*0.03</f>
        <v>2499.1246499999997</v>
      </c>
      <c r="AA52" s="187"/>
      <c r="AB52" s="186">
        <f>SUM(AB16+AB20)*0.03</f>
        <v>2499.1246499999997</v>
      </c>
      <c r="AC52" s="187"/>
      <c r="AD52" s="186">
        <f>SUM(AD16+AD20)*0.03</f>
        <v>2499.1246499999997</v>
      </c>
      <c r="AE52" s="187"/>
      <c r="AF52" s="186">
        <f t="shared" si="3"/>
        <v>31264.483950000002</v>
      </c>
    </row>
    <row r="53" spans="1:32" x14ac:dyDescent="0.3">
      <c r="A53" s="185"/>
      <c r="B53" s="185"/>
      <c r="C53" s="185"/>
      <c r="D53" s="185"/>
      <c r="E53" s="185"/>
      <c r="F53" s="185" t="s">
        <v>331</v>
      </c>
      <c r="G53" s="185"/>
      <c r="H53" s="186">
        <v>0</v>
      </c>
      <c r="I53" s="187"/>
      <c r="J53" s="186">
        <v>0</v>
      </c>
      <c r="K53" s="187"/>
      <c r="L53" s="186">
        <v>0</v>
      </c>
      <c r="M53" s="187"/>
      <c r="N53" s="186">
        <v>731.65</v>
      </c>
      <c r="O53" s="187"/>
      <c r="P53" s="186">
        <v>500</v>
      </c>
      <c r="Q53" s="187"/>
      <c r="R53" s="186">
        <v>0</v>
      </c>
      <c r="S53" s="187"/>
      <c r="T53" s="186">
        <v>2207.86</v>
      </c>
      <c r="U53" s="187"/>
      <c r="V53" s="186">
        <v>1525</v>
      </c>
      <c r="W53" s="187"/>
      <c r="X53" s="186">
        <v>2377.5</v>
      </c>
      <c r="Y53" s="187"/>
      <c r="Z53" s="186">
        <v>0</v>
      </c>
      <c r="AA53" s="187"/>
      <c r="AB53" s="186">
        <v>0</v>
      </c>
      <c r="AC53" s="187"/>
      <c r="AD53" s="186">
        <v>0</v>
      </c>
      <c r="AE53" s="187"/>
      <c r="AF53" s="186">
        <f t="shared" si="3"/>
        <v>7342.01</v>
      </c>
    </row>
    <row r="54" spans="1:32" x14ac:dyDescent="0.3">
      <c r="A54" s="185"/>
      <c r="B54" s="185"/>
      <c r="C54" s="185"/>
      <c r="D54" s="185"/>
      <c r="E54" s="185"/>
      <c r="F54" s="185" t="s">
        <v>205</v>
      </c>
      <c r="G54" s="185"/>
      <c r="H54" s="186">
        <v>18390.5</v>
      </c>
      <c r="I54" s="187"/>
      <c r="J54" s="186">
        <v>1400</v>
      </c>
      <c r="K54" s="187"/>
      <c r="L54" s="186">
        <v>1400</v>
      </c>
      <c r="M54" s="187"/>
      <c r="N54" s="186">
        <v>1400</v>
      </c>
      <c r="O54" s="187"/>
      <c r="P54" s="186">
        <v>1400</v>
      </c>
      <c r="Q54" s="187"/>
      <c r="R54" s="186">
        <v>1400</v>
      </c>
      <c r="S54" s="187"/>
      <c r="T54" s="186">
        <v>1400</v>
      </c>
      <c r="U54" s="187"/>
      <c r="V54" s="186">
        <v>1400</v>
      </c>
      <c r="W54" s="187"/>
      <c r="X54" s="186">
        <v>1400</v>
      </c>
      <c r="Y54" s="187"/>
      <c r="Z54" s="186">
        <v>1400</v>
      </c>
      <c r="AA54" s="187"/>
      <c r="AB54" s="186">
        <v>1400</v>
      </c>
      <c r="AC54" s="187"/>
      <c r="AD54" s="186">
        <v>1400</v>
      </c>
      <c r="AE54" s="187"/>
      <c r="AF54" s="186">
        <f t="shared" si="3"/>
        <v>33790.5</v>
      </c>
    </row>
    <row r="55" spans="1:32" x14ac:dyDescent="0.3">
      <c r="A55" s="185"/>
      <c r="B55" s="185"/>
      <c r="C55" s="185"/>
      <c r="D55" s="185"/>
      <c r="E55" s="185"/>
      <c r="F55" s="185" t="s">
        <v>332</v>
      </c>
      <c r="G55" s="185"/>
      <c r="H55" s="186">
        <v>75</v>
      </c>
      <c r="I55" s="187"/>
      <c r="J55" s="186">
        <v>0</v>
      </c>
      <c r="K55" s="187"/>
      <c r="L55" s="186">
        <v>3760</v>
      </c>
      <c r="M55" s="187"/>
      <c r="N55" s="186">
        <v>0</v>
      </c>
      <c r="O55" s="187"/>
      <c r="P55" s="186">
        <v>490</v>
      </c>
      <c r="Q55" s="187"/>
      <c r="R55" s="186">
        <v>0</v>
      </c>
      <c r="S55" s="187"/>
      <c r="T55" s="186">
        <v>57</v>
      </c>
      <c r="U55" s="187"/>
      <c r="V55" s="186">
        <v>2355</v>
      </c>
      <c r="W55" s="187"/>
      <c r="X55" s="186">
        <v>2691.5</v>
      </c>
      <c r="Y55" s="187"/>
      <c r="Z55" s="186">
        <v>2000</v>
      </c>
      <c r="AA55" s="187"/>
      <c r="AB55" s="186">
        <v>2000</v>
      </c>
      <c r="AC55" s="187"/>
      <c r="AD55" s="186">
        <v>2000</v>
      </c>
      <c r="AE55" s="187"/>
      <c r="AF55" s="186">
        <f t="shared" si="3"/>
        <v>15428.5</v>
      </c>
    </row>
    <row r="56" spans="1:32" x14ac:dyDescent="0.3">
      <c r="A56" s="185"/>
      <c r="B56" s="185"/>
      <c r="C56" s="185"/>
      <c r="D56" s="185"/>
      <c r="E56" s="185"/>
      <c r="F56" s="185" t="s">
        <v>207</v>
      </c>
      <c r="G56" s="185"/>
      <c r="H56" s="186">
        <v>7000</v>
      </c>
      <c r="I56" s="187"/>
      <c r="J56" s="186">
        <v>3500</v>
      </c>
      <c r="K56" s="187"/>
      <c r="L56" s="186">
        <v>3500</v>
      </c>
      <c r="M56" s="187"/>
      <c r="N56" s="186">
        <v>3500</v>
      </c>
      <c r="O56" s="187"/>
      <c r="P56" s="186">
        <v>3500</v>
      </c>
      <c r="Q56" s="187"/>
      <c r="R56" s="186">
        <v>3500</v>
      </c>
      <c r="S56" s="187"/>
      <c r="T56" s="186">
        <v>3500</v>
      </c>
      <c r="U56" s="187"/>
      <c r="V56" s="186">
        <v>3500</v>
      </c>
      <c r="W56" s="187"/>
      <c r="X56" s="186">
        <v>3500</v>
      </c>
      <c r="Y56" s="187"/>
      <c r="Z56" s="186">
        <v>3500</v>
      </c>
      <c r="AA56" s="187"/>
      <c r="AB56" s="186">
        <v>3500</v>
      </c>
      <c r="AC56" s="187"/>
      <c r="AD56" s="186">
        <v>3500</v>
      </c>
      <c r="AE56" s="187"/>
      <c r="AF56" s="186">
        <f t="shared" si="3"/>
        <v>45500</v>
      </c>
    </row>
    <row r="57" spans="1:32" x14ac:dyDescent="0.3">
      <c r="A57" s="185"/>
      <c r="B57" s="185"/>
      <c r="C57" s="185"/>
      <c r="D57" s="185"/>
      <c r="E57" s="185"/>
      <c r="F57" s="185" t="s">
        <v>333</v>
      </c>
      <c r="G57" s="185"/>
      <c r="H57" s="186">
        <v>0</v>
      </c>
      <c r="I57" s="187"/>
      <c r="J57" s="186">
        <v>0</v>
      </c>
      <c r="K57" s="187"/>
      <c r="L57" s="186">
        <v>0</v>
      </c>
      <c r="M57" s="187"/>
      <c r="N57" s="186">
        <v>450</v>
      </c>
      <c r="O57" s="187"/>
      <c r="P57" s="186">
        <v>25</v>
      </c>
      <c r="Q57" s="187"/>
      <c r="R57" s="186">
        <v>325</v>
      </c>
      <c r="S57" s="187"/>
      <c r="T57" s="186">
        <v>0</v>
      </c>
      <c r="U57" s="187"/>
      <c r="V57" s="186">
        <v>0</v>
      </c>
      <c r="W57" s="187"/>
      <c r="X57" s="186">
        <v>0</v>
      </c>
      <c r="Y57" s="187"/>
      <c r="Z57" s="186">
        <v>0</v>
      </c>
      <c r="AA57" s="187"/>
      <c r="AB57" s="186">
        <v>0</v>
      </c>
      <c r="AC57" s="187"/>
      <c r="AD57" s="186">
        <v>0</v>
      </c>
      <c r="AE57" s="187"/>
      <c r="AF57" s="186">
        <f t="shared" si="3"/>
        <v>800</v>
      </c>
    </row>
    <row r="58" spans="1:32" x14ac:dyDescent="0.3">
      <c r="A58" s="185"/>
      <c r="B58" s="185"/>
      <c r="C58" s="185"/>
      <c r="D58" s="185"/>
      <c r="E58" s="185"/>
      <c r="F58" s="185" t="s">
        <v>334</v>
      </c>
      <c r="G58" s="185"/>
      <c r="H58" s="186">
        <v>0</v>
      </c>
      <c r="I58" s="187"/>
      <c r="J58" s="186">
        <v>0</v>
      </c>
      <c r="K58" s="187"/>
      <c r="L58" s="186">
        <v>481.66</v>
      </c>
      <c r="M58" s="187"/>
      <c r="N58" s="186">
        <v>80.27</v>
      </c>
      <c r="O58" s="187"/>
      <c r="P58" s="186">
        <v>0</v>
      </c>
      <c r="Q58" s="187"/>
      <c r="R58" s="186">
        <v>4655.66</v>
      </c>
      <c r="S58" s="187"/>
      <c r="T58" s="186">
        <v>0</v>
      </c>
      <c r="U58" s="187"/>
      <c r="V58" s="186">
        <v>1204.05</v>
      </c>
      <c r="W58" s="187"/>
      <c r="X58" s="186">
        <v>240.81</v>
      </c>
      <c r="Y58" s="187"/>
      <c r="Z58" s="186">
        <v>240.81</v>
      </c>
      <c r="AA58" s="187"/>
      <c r="AB58" s="186">
        <v>240.81</v>
      </c>
      <c r="AC58" s="187"/>
      <c r="AD58" s="186">
        <v>0</v>
      </c>
      <c r="AE58" s="187"/>
      <c r="AF58" s="186">
        <f t="shared" si="3"/>
        <v>7144.07</v>
      </c>
    </row>
    <row r="59" spans="1:32" x14ac:dyDescent="0.3">
      <c r="A59" s="185"/>
      <c r="B59" s="185"/>
      <c r="C59" s="185"/>
      <c r="D59" s="185"/>
      <c r="E59" s="185"/>
      <c r="F59" s="185" t="s">
        <v>208</v>
      </c>
      <c r="G59" s="185"/>
      <c r="H59" s="186">
        <v>198.56</v>
      </c>
      <c r="I59" s="187"/>
      <c r="J59" s="186">
        <v>0</v>
      </c>
      <c r="K59" s="187"/>
      <c r="L59" s="186">
        <v>204.28</v>
      </c>
      <c r="M59" s="187"/>
      <c r="N59" s="186">
        <v>0</v>
      </c>
      <c r="O59" s="187"/>
      <c r="P59" s="186">
        <v>204.28</v>
      </c>
      <c r="Q59" s="187"/>
      <c r="R59" s="186">
        <v>0</v>
      </c>
      <c r="S59" s="187"/>
      <c r="T59" s="186">
        <v>1322</v>
      </c>
      <c r="U59" s="187"/>
      <c r="V59" s="186">
        <v>204.28</v>
      </c>
      <c r="W59" s="187"/>
      <c r="X59" s="186">
        <v>204.28</v>
      </c>
      <c r="Y59" s="187"/>
      <c r="Z59" s="186">
        <v>204.28</v>
      </c>
      <c r="AA59" s="187"/>
      <c r="AB59" s="186">
        <v>204.28</v>
      </c>
      <c r="AC59" s="187"/>
      <c r="AD59" s="186">
        <v>204.28</v>
      </c>
      <c r="AE59" s="187"/>
      <c r="AF59" s="186">
        <f t="shared" si="3"/>
        <v>2950.52</v>
      </c>
    </row>
    <row r="60" spans="1:32" x14ac:dyDescent="0.3">
      <c r="A60" s="185"/>
      <c r="B60" s="185"/>
      <c r="C60" s="185"/>
      <c r="D60" s="185"/>
      <c r="E60" s="185"/>
      <c r="F60" s="185" t="s">
        <v>335</v>
      </c>
      <c r="G60" s="185"/>
      <c r="H60" s="186">
        <v>7875</v>
      </c>
      <c r="I60" s="187"/>
      <c r="J60" s="186">
        <v>7875</v>
      </c>
      <c r="K60" s="187"/>
      <c r="L60" s="186">
        <v>7875</v>
      </c>
      <c r="M60" s="187"/>
      <c r="N60" s="186">
        <v>7875</v>
      </c>
      <c r="O60" s="187"/>
      <c r="P60" s="186">
        <v>7875</v>
      </c>
      <c r="Q60" s="187"/>
      <c r="R60" s="186">
        <v>7875</v>
      </c>
      <c r="S60" s="187"/>
      <c r="T60" s="186">
        <v>7875</v>
      </c>
      <c r="U60" s="187"/>
      <c r="V60" s="186">
        <v>7875</v>
      </c>
      <c r="W60" s="187"/>
      <c r="X60" s="186">
        <v>7875</v>
      </c>
      <c r="Y60" s="187"/>
      <c r="Z60" s="186">
        <v>7875</v>
      </c>
      <c r="AA60" s="187"/>
      <c r="AB60" s="186">
        <v>7875</v>
      </c>
      <c r="AC60" s="187"/>
      <c r="AD60" s="186">
        <v>7875</v>
      </c>
      <c r="AE60" s="187"/>
      <c r="AF60" s="186">
        <f t="shared" si="3"/>
        <v>94500</v>
      </c>
    </row>
    <row r="61" spans="1:32" x14ac:dyDescent="0.3">
      <c r="A61" s="185"/>
      <c r="B61" s="185"/>
      <c r="C61" s="185"/>
      <c r="D61" s="185"/>
      <c r="E61" s="185"/>
      <c r="F61" s="185" t="s">
        <v>336</v>
      </c>
      <c r="G61" s="185"/>
      <c r="H61" s="186">
        <v>5541.3</v>
      </c>
      <c r="I61" s="187"/>
      <c r="J61" s="186">
        <v>3096.37</v>
      </c>
      <c r="K61" s="187"/>
      <c r="L61" s="186">
        <v>6406.35</v>
      </c>
      <c r="M61" s="187"/>
      <c r="N61" s="186">
        <v>6652.46</v>
      </c>
      <c r="O61" s="187"/>
      <c r="P61" s="186">
        <v>6588.1</v>
      </c>
      <c r="Q61" s="187"/>
      <c r="R61" s="186">
        <v>4814.74</v>
      </c>
      <c r="S61" s="187"/>
      <c r="T61" s="186">
        <v>4841.49</v>
      </c>
      <c r="U61" s="187"/>
      <c r="V61" s="186">
        <v>7569.98</v>
      </c>
      <c r="W61" s="187"/>
      <c r="X61" s="186">
        <v>2273.7399999999998</v>
      </c>
      <c r="Y61" s="187"/>
      <c r="Z61" s="186">
        <v>4226.4799999999996</v>
      </c>
      <c r="AA61" s="187"/>
      <c r="AB61" s="186">
        <v>4226.4799999999996</v>
      </c>
      <c r="AC61" s="187"/>
      <c r="AD61" s="186">
        <v>0</v>
      </c>
      <c r="AE61" s="187"/>
      <c r="AF61" s="186">
        <f t="shared" si="3"/>
        <v>56237.49</v>
      </c>
    </row>
    <row r="62" spans="1:32" ht="13.5" thickBot="1" x14ac:dyDescent="0.35">
      <c r="A62" s="185"/>
      <c r="B62" s="185"/>
      <c r="C62" s="185"/>
      <c r="D62" s="185"/>
      <c r="E62" s="185"/>
      <c r="F62" s="185" t="s">
        <v>210</v>
      </c>
      <c r="G62" s="185"/>
      <c r="H62" s="188">
        <v>0</v>
      </c>
      <c r="I62" s="187"/>
      <c r="J62" s="188">
        <v>1150</v>
      </c>
      <c r="K62" s="187"/>
      <c r="L62" s="188">
        <v>500</v>
      </c>
      <c r="M62" s="187"/>
      <c r="N62" s="188">
        <v>0</v>
      </c>
      <c r="O62" s="187"/>
      <c r="P62" s="188">
        <v>400</v>
      </c>
      <c r="Q62" s="187"/>
      <c r="R62" s="188">
        <v>0</v>
      </c>
      <c r="S62" s="187"/>
      <c r="T62" s="188">
        <v>300</v>
      </c>
      <c r="U62" s="187"/>
      <c r="V62" s="188">
        <v>400</v>
      </c>
      <c r="W62" s="187"/>
      <c r="X62" s="188">
        <v>400</v>
      </c>
      <c r="Y62" s="187"/>
      <c r="Z62" s="188">
        <v>400</v>
      </c>
      <c r="AA62" s="187"/>
      <c r="AB62" s="188">
        <v>400</v>
      </c>
      <c r="AC62" s="187"/>
      <c r="AD62" s="188">
        <v>0</v>
      </c>
      <c r="AE62" s="187"/>
      <c r="AF62" s="188">
        <f t="shared" si="3"/>
        <v>3950</v>
      </c>
    </row>
    <row r="63" spans="1:32" x14ac:dyDescent="0.3">
      <c r="A63" s="185"/>
      <c r="B63" s="185"/>
      <c r="C63" s="185"/>
      <c r="D63" s="185"/>
      <c r="E63" s="185" t="s">
        <v>211</v>
      </c>
      <c r="F63" s="185"/>
      <c r="G63" s="185"/>
      <c r="H63" s="186">
        <f>ROUND(SUM(H47:H62),5)</f>
        <v>45356.94</v>
      </c>
      <c r="I63" s="187"/>
      <c r="J63" s="186">
        <f>ROUND(SUM(J47:J62),5)</f>
        <v>24482.240000000002</v>
      </c>
      <c r="K63" s="187"/>
      <c r="L63" s="186">
        <f>ROUND(SUM(L47:L62),5)</f>
        <v>31392.04</v>
      </c>
      <c r="M63" s="187"/>
      <c r="N63" s="186">
        <f>ROUND(SUM(N47:N62),5)</f>
        <v>37519.160000000003</v>
      </c>
      <c r="O63" s="187"/>
      <c r="P63" s="186">
        <f>ROUND(SUM(P47:P62),5)</f>
        <v>31477.85</v>
      </c>
      <c r="Q63" s="187"/>
      <c r="R63" s="186">
        <f>ROUND(SUM(R47:R62),5)</f>
        <v>34691.57</v>
      </c>
      <c r="S63" s="187"/>
      <c r="T63" s="186">
        <f>ROUND(SUM(T47:T62),5)</f>
        <v>29817.98</v>
      </c>
      <c r="U63" s="187"/>
      <c r="V63" s="186">
        <f>ROUND(SUM(V47:V62),5)</f>
        <v>39945.910000000003</v>
      </c>
      <c r="W63" s="187"/>
      <c r="X63" s="186">
        <f>ROUND(SUM(X47:X62),5)</f>
        <v>31817.69</v>
      </c>
      <c r="Y63" s="187"/>
      <c r="Z63" s="186">
        <f>ROUND(SUM(Z47:Z62),5)</f>
        <v>33151.434650000003</v>
      </c>
      <c r="AA63" s="187"/>
      <c r="AB63" s="186">
        <f>ROUND(SUM(AB47:AB62),5)</f>
        <v>27876.434649999999</v>
      </c>
      <c r="AC63" s="187"/>
      <c r="AD63" s="186">
        <f>ROUND(SUM(AD47:AD62),5)</f>
        <v>25678.40465</v>
      </c>
      <c r="AE63" s="187"/>
      <c r="AF63" s="186">
        <f t="shared" si="3"/>
        <v>393207.65395000001</v>
      </c>
    </row>
    <row r="64" spans="1:32" x14ac:dyDescent="0.3">
      <c r="A64" s="185"/>
      <c r="B64" s="185"/>
      <c r="C64" s="185"/>
      <c r="D64" s="185"/>
      <c r="E64" s="185" t="s">
        <v>212</v>
      </c>
      <c r="F64" s="185"/>
      <c r="G64" s="185"/>
      <c r="H64" s="186"/>
      <c r="I64" s="187"/>
      <c r="J64" s="186"/>
      <c r="K64" s="187"/>
      <c r="L64" s="186"/>
      <c r="M64" s="187"/>
      <c r="N64" s="186"/>
      <c r="O64" s="187"/>
      <c r="P64" s="186"/>
      <c r="Q64" s="187"/>
      <c r="R64" s="186"/>
      <c r="S64" s="187"/>
      <c r="T64" s="186"/>
      <c r="U64" s="187"/>
      <c r="V64" s="186"/>
      <c r="W64" s="187"/>
      <c r="X64" s="186"/>
      <c r="Y64" s="187"/>
      <c r="Z64" s="186"/>
      <c r="AA64" s="187"/>
      <c r="AB64" s="186"/>
      <c r="AC64" s="187"/>
      <c r="AD64" s="186"/>
      <c r="AE64" s="187"/>
      <c r="AF64" s="186"/>
    </row>
    <row r="65" spans="1:34" x14ac:dyDescent="0.3">
      <c r="A65" s="185"/>
      <c r="B65" s="185"/>
      <c r="C65" s="185"/>
      <c r="D65" s="185"/>
      <c r="E65" s="185"/>
      <c r="F65" s="185" t="s">
        <v>337</v>
      </c>
      <c r="G65" s="185"/>
      <c r="H65" s="186">
        <v>512.77</v>
      </c>
      <c r="I65" s="187"/>
      <c r="J65" s="186">
        <v>525.51</v>
      </c>
      <c r="K65" s="187"/>
      <c r="L65" s="186">
        <v>831.03</v>
      </c>
      <c r="M65" s="187"/>
      <c r="N65" s="186">
        <v>441.81</v>
      </c>
      <c r="O65" s="187"/>
      <c r="P65" s="186">
        <v>434.13</v>
      </c>
      <c r="Q65" s="187"/>
      <c r="R65" s="186">
        <v>429.51</v>
      </c>
      <c r="S65" s="187"/>
      <c r="T65" s="186">
        <v>429.33</v>
      </c>
      <c r="U65" s="187"/>
      <c r="V65" s="186">
        <v>431.99</v>
      </c>
      <c r="W65" s="187"/>
      <c r="X65" s="186">
        <v>431.99</v>
      </c>
      <c r="Y65" s="187"/>
      <c r="Z65" s="186">
        <v>431.99</v>
      </c>
      <c r="AA65" s="187"/>
      <c r="AB65" s="186">
        <v>431.99</v>
      </c>
      <c r="AC65" s="187"/>
      <c r="AD65" s="186">
        <v>431.99</v>
      </c>
      <c r="AE65" s="187"/>
      <c r="AF65" s="186">
        <f>ROUND(SUM(H65:AD65),5)</f>
        <v>5764.04</v>
      </c>
    </row>
    <row r="66" spans="1:34" x14ac:dyDescent="0.3">
      <c r="A66" s="185"/>
      <c r="B66" s="185"/>
      <c r="C66" s="185"/>
      <c r="D66" s="185"/>
      <c r="E66" s="185"/>
      <c r="F66" s="185" t="s">
        <v>338</v>
      </c>
      <c r="G66" s="185"/>
      <c r="H66" s="186">
        <v>1552.48</v>
      </c>
      <c r="I66" s="187"/>
      <c r="J66" s="186">
        <v>10965</v>
      </c>
      <c r="K66" s="187"/>
      <c r="L66" s="186">
        <v>429.14</v>
      </c>
      <c r="M66" s="187"/>
      <c r="N66" s="186">
        <v>0</v>
      </c>
      <c r="O66" s="187"/>
      <c r="P66" s="186">
        <v>0</v>
      </c>
      <c r="Q66" s="187"/>
      <c r="R66" s="186">
        <v>205.2</v>
      </c>
      <c r="S66" s="187"/>
      <c r="T66" s="186">
        <v>410.4</v>
      </c>
      <c r="U66" s="187"/>
      <c r="V66" s="186">
        <v>0</v>
      </c>
      <c r="W66" s="187"/>
      <c r="X66" s="186">
        <v>102.6</v>
      </c>
      <c r="Y66" s="187"/>
      <c r="Z66" s="186">
        <v>0</v>
      </c>
      <c r="AA66" s="187"/>
      <c r="AB66" s="186">
        <v>0</v>
      </c>
      <c r="AC66" s="187"/>
      <c r="AD66" s="186">
        <v>0</v>
      </c>
      <c r="AE66" s="187"/>
      <c r="AF66" s="186">
        <f>ROUND(SUM(H66:AD66),5)</f>
        <v>13664.82</v>
      </c>
    </row>
    <row r="67" spans="1:34" x14ac:dyDescent="0.3">
      <c r="A67" s="185"/>
      <c r="B67" s="185"/>
      <c r="C67" s="185"/>
      <c r="D67" s="185"/>
      <c r="E67" s="185"/>
      <c r="F67" s="185" t="s">
        <v>339</v>
      </c>
      <c r="G67" s="185"/>
      <c r="H67" s="186">
        <v>0</v>
      </c>
      <c r="I67" s="187"/>
      <c r="J67" s="186">
        <v>0</v>
      </c>
      <c r="K67" s="187"/>
      <c r="L67" s="186">
        <v>2500</v>
      </c>
      <c r="M67" s="187"/>
      <c r="N67" s="186">
        <v>0</v>
      </c>
      <c r="O67" s="187"/>
      <c r="P67" s="186">
        <v>625</v>
      </c>
      <c r="Q67" s="187"/>
      <c r="R67" s="186">
        <v>0</v>
      </c>
      <c r="S67" s="187"/>
      <c r="T67" s="186">
        <v>0</v>
      </c>
      <c r="U67" s="187"/>
      <c r="V67" s="186">
        <v>2295</v>
      </c>
      <c r="W67" s="187"/>
      <c r="X67" s="186">
        <v>0</v>
      </c>
      <c r="Y67" s="187"/>
      <c r="Z67" s="186">
        <v>0</v>
      </c>
      <c r="AA67" s="187"/>
      <c r="AB67" s="186">
        <v>0</v>
      </c>
      <c r="AC67" s="187"/>
      <c r="AD67" s="186">
        <v>0</v>
      </c>
      <c r="AE67" s="187"/>
      <c r="AF67" s="186">
        <f>ROUND(SUM(H67:AD67),5)</f>
        <v>5420</v>
      </c>
    </row>
    <row r="68" spans="1:34" ht="13.5" thickBot="1" x14ac:dyDescent="0.35">
      <c r="A68" s="185"/>
      <c r="B68" s="185"/>
      <c r="C68" s="185"/>
      <c r="D68" s="185"/>
      <c r="E68" s="185"/>
      <c r="F68" s="185" t="s">
        <v>340</v>
      </c>
      <c r="G68" s="185"/>
      <c r="H68" s="188">
        <v>130</v>
      </c>
      <c r="I68" s="187"/>
      <c r="J68" s="188">
        <v>130</v>
      </c>
      <c r="K68" s="187"/>
      <c r="L68" s="188">
        <v>725</v>
      </c>
      <c r="M68" s="187"/>
      <c r="N68" s="188">
        <v>1320</v>
      </c>
      <c r="O68" s="187"/>
      <c r="P68" s="188">
        <v>725</v>
      </c>
      <c r="Q68" s="187"/>
      <c r="R68" s="188">
        <v>725</v>
      </c>
      <c r="S68" s="187"/>
      <c r="T68" s="188">
        <v>725</v>
      </c>
      <c r="U68" s="187"/>
      <c r="V68" s="188">
        <v>725</v>
      </c>
      <c r="W68" s="187"/>
      <c r="X68" s="188">
        <v>725</v>
      </c>
      <c r="Y68" s="187"/>
      <c r="Z68" s="188">
        <v>725</v>
      </c>
      <c r="AA68" s="187"/>
      <c r="AB68" s="188">
        <v>725</v>
      </c>
      <c r="AC68" s="187"/>
      <c r="AD68" s="188">
        <v>725</v>
      </c>
      <c r="AE68" s="187"/>
      <c r="AF68" s="188">
        <f>ROUND(SUM(H68:AD68),5)</f>
        <v>8105</v>
      </c>
    </row>
    <row r="69" spans="1:34" x14ac:dyDescent="0.3">
      <c r="A69" s="185"/>
      <c r="B69" s="185"/>
      <c r="C69" s="185"/>
      <c r="D69" s="185"/>
      <c r="E69" s="185" t="s">
        <v>218</v>
      </c>
      <c r="F69" s="185"/>
      <c r="G69" s="185"/>
      <c r="H69" s="186">
        <f>ROUND(SUM(H64:H68),5)</f>
        <v>2195.25</v>
      </c>
      <c r="I69" s="187"/>
      <c r="J69" s="186">
        <f>ROUND(SUM(J64:J68),5)</f>
        <v>11620.51</v>
      </c>
      <c r="K69" s="187"/>
      <c r="L69" s="186">
        <f>ROUND(SUM(L64:L68),5)</f>
        <v>4485.17</v>
      </c>
      <c r="M69" s="187"/>
      <c r="N69" s="186">
        <f>ROUND(SUM(N64:N68),5)</f>
        <v>1761.81</v>
      </c>
      <c r="O69" s="187"/>
      <c r="P69" s="186">
        <f>ROUND(SUM(P64:P68),5)</f>
        <v>1784.13</v>
      </c>
      <c r="Q69" s="187"/>
      <c r="R69" s="186">
        <f>ROUND(SUM(R64:R68),5)</f>
        <v>1359.71</v>
      </c>
      <c r="S69" s="187"/>
      <c r="T69" s="186">
        <f>ROUND(SUM(T64:T68),5)</f>
        <v>1564.73</v>
      </c>
      <c r="U69" s="187"/>
      <c r="V69" s="186">
        <f>ROUND(SUM(V64:V68),5)</f>
        <v>3451.99</v>
      </c>
      <c r="W69" s="187"/>
      <c r="X69" s="186">
        <f>ROUND(SUM(X64:X68),5)</f>
        <v>1259.5899999999999</v>
      </c>
      <c r="Y69" s="187"/>
      <c r="Z69" s="186">
        <f>ROUND(SUM(Z64:Z68),5)</f>
        <v>1156.99</v>
      </c>
      <c r="AA69" s="187"/>
      <c r="AB69" s="186">
        <f>ROUND(SUM(AB64:AB68),5)</f>
        <v>1156.99</v>
      </c>
      <c r="AC69" s="187"/>
      <c r="AD69" s="186">
        <f>ROUND(SUM(AD64:AD68),5)</f>
        <v>1156.99</v>
      </c>
      <c r="AE69" s="187"/>
      <c r="AF69" s="186">
        <f>ROUND(SUM(H69:AD69),5)</f>
        <v>32953.86</v>
      </c>
    </row>
    <row r="70" spans="1:34" x14ac:dyDescent="0.3">
      <c r="A70" s="185"/>
      <c r="B70" s="185"/>
      <c r="C70" s="185"/>
      <c r="D70" s="185"/>
      <c r="E70" s="185" t="s">
        <v>219</v>
      </c>
      <c r="F70" s="185"/>
      <c r="G70" s="185"/>
      <c r="H70" s="186"/>
      <c r="I70" s="187"/>
      <c r="J70" s="186"/>
      <c r="K70" s="187"/>
      <c r="L70" s="186"/>
      <c r="M70" s="187"/>
      <c r="N70" s="186"/>
      <c r="O70" s="187"/>
      <c r="P70" s="186"/>
      <c r="Q70" s="187"/>
      <c r="R70" s="186"/>
      <c r="S70" s="187"/>
      <c r="T70" s="186"/>
      <c r="U70" s="187"/>
      <c r="V70" s="186"/>
      <c r="W70" s="187"/>
      <c r="X70" s="186"/>
      <c r="Y70" s="187"/>
      <c r="Z70" s="186"/>
      <c r="AA70" s="187"/>
      <c r="AB70" s="186"/>
      <c r="AC70" s="187"/>
      <c r="AD70" s="186"/>
      <c r="AE70" s="187"/>
      <c r="AF70" s="186"/>
      <c r="AH70" s="295">
        <f>+AF63+AF69+AF72+AF77+AF82+AF86+AF89</f>
        <v>658550.57394999999</v>
      </c>
    </row>
    <row r="71" spans="1:34" ht="13.5" thickBot="1" x14ac:dyDescent="0.35">
      <c r="A71" s="185"/>
      <c r="B71" s="185"/>
      <c r="C71" s="185"/>
      <c r="D71" s="185"/>
      <c r="E71" s="185"/>
      <c r="F71" s="185" t="s">
        <v>220</v>
      </c>
      <c r="G71" s="185"/>
      <c r="H71" s="188">
        <v>0</v>
      </c>
      <c r="I71" s="187"/>
      <c r="J71" s="188">
        <v>141.05000000000001</v>
      </c>
      <c r="K71" s="187"/>
      <c r="L71" s="188">
        <v>67.2</v>
      </c>
      <c r="M71" s="187"/>
      <c r="N71" s="188">
        <v>74.27</v>
      </c>
      <c r="O71" s="187"/>
      <c r="P71" s="188">
        <v>0</v>
      </c>
      <c r="Q71" s="187"/>
      <c r="R71" s="188">
        <v>0</v>
      </c>
      <c r="S71" s="187"/>
      <c r="T71" s="188">
        <v>0</v>
      </c>
      <c r="U71" s="187"/>
      <c r="V71" s="188">
        <v>74.27</v>
      </c>
      <c r="W71" s="187"/>
      <c r="X71" s="188">
        <v>0</v>
      </c>
      <c r="Y71" s="187"/>
      <c r="Z71" s="188">
        <v>0</v>
      </c>
      <c r="AA71" s="187"/>
      <c r="AB71" s="188">
        <v>0</v>
      </c>
      <c r="AC71" s="187"/>
      <c r="AD71" s="188">
        <v>1000</v>
      </c>
      <c r="AE71" s="187"/>
      <c r="AF71" s="188">
        <f>ROUND(SUM(H71:AD71),5)</f>
        <v>1356.79</v>
      </c>
    </row>
    <row r="72" spans="1:34" x14ac:dyDescent="0.3">
      <c r="A72" s="185"/>
      <c r="B72" s="185"/>
      <c r="C72" s="185"/>
      <c r="D72" s="185"/>
      <c r="E72" s="185" t="s">
        <v>221</v>
      </c>
      <c r="F72" s="185"/>
      <c r="G72" s="185"/>
      <c r="H72" s="186">
        <f>ROUND(SUM(H70:H71),5)</f>
        <v>0</v>
      </c>
      <c r="I72" s="187"/>
      <c r="J72" s="186">
        <f>ROUND(SUM(J70:J71),5)</f>
        <v>141.05000000000001</v>
      </c>
      <c r="K72" s="187"/>
      <c r="L72" s="186">
        <f>ROUND(SUM(L70:L71),5)</f>
        <v>67.2</v>
      </c>
      <c r="M72" s="187"/>
      <c r="N72" s="186">
        <f>ROUND(SUM(N70:N71),5)</f>
        <v>74.27</v>
      </c>
      <c r="O72" s="187"/>
      <c r="P72" s="186">
        <f>ROUND(SUM(P70:P71),5)</f>
        <v>0</v>
      </c>
      <c r="Q72" s="187"/>
      <c r="R72" s="186">
        <f>ROUND(SUM(R70:R71),5)</f>
        <v>0</v>
      </c>
      <c r="S72" s="187"/>
      <c r="T72" s="186">
        <f>ROUND(SUM(T70:T71),5)</f>
        <v>0</v>
      </c>
      <c r="U72" s="187"/>
      <c r="V72" s="186">
        <f>ROUND(SUM(V70:V71),5)</f>
        <v>74.27</v>
      </c>
      <c r="W72" s="187"/>
      <c r="X72" s="186">
        <f>ROUND(SUM(X70:X71),5)</f>
        <v>0</v>
      </c>
      <c r="Y72" s="187"/>
      <c r="Z72" s="186">
        <f>ROUND(SUM(Z70:Z71),5)</f>
        <v>0</v>
      </c>
      <c r="AA72" s="187"/>
      <c r="AB72" s="186">
        <f>ROUND(SUM(AB70:AB71),5)</f>
        <v>0</v>
      </c>
      <c r="AC72" s="187"/>
      <c r="AD72" s="186">
        <f>ROUND(SUM(AD70:AD71),5)</f>
        <v>1000</v>
      </c>
      <c r="AE72" s="187"/>
      <c r="AF72" s="186">
        <f>ROUND(SUM(H72:AD72),5)</f>
        <v>1356.79</v>
      </c>
    </row>
    <row r="73" spans="1:34" x14ac:dyDescent="0.3">
      <c r="A73" s="185"/>
      <c r="B73" s="185"/>
      <c r="C73" s="185"/>
      <c r="D73" s="185"/>
      <c r="E73" s="185" t="s">
        <v>222</v>
      </c>
      <c r="F73" s="185"/>
      <c r="G73" s="185"/>
      <c r="H73" s="186"/>
      <c r="I73" s="187"/>
      <c r="J73" s="186"/>
      <c r="K73" s="187"/>
      <c r="L73" s="186"/>
      <c r="M73" s="187"/>
      <c r="N73" s="186"/>
      <c r="O73" s="187"/>
      <c r="P73" s="186"/>
      <c r="Q73" s="187"/>
      <c r="R73" s="186"/>
      <c r="S73" s="187"/>
      <c r="T73" s="186"/>
      <c r="U73" s="187"/>
      <c r="V73" s="186"/>
      <c r="W73" s="187"/>
      <c r="X73" s="186"/>
      <c r="Y73" s="187"/>
      <c r="Z73" s="186"/>
      <c r="AA73" s="187"/>
      <c r="AB73" s="186"/>
      <c r="AC73" s="187"/>
      <c r="AD73" s="186"/>
      <c r="AE73" s="187"/>
      <c r="AF73" s="186"/>
    </row>
    <row r="74" spans="1:34" x14ac:dyDescent="0.3">
      <c r="A74" s="185"/>
      <c r="B74" s="185"/>
      <c r="C74" s="185"/>
      <c r="D74" s="185"/>
      <c r="E74" s="185"/>
      <c r="F74" s="185" t="s">
        <v>341</v>
      </c>
      <c r="G74" s="185"/>
      <c r="H74" s="186">
        <v>0</v>
      </c>
      <c r="I74" s="187"/>
      <c r="J74" s="186">
        <v>0</v>
      </c>
      <c r="K74" s="187"/>
      <c r="L74" s="186">
        <v>0</v>
      </c>
      <c r="M74" s="187"/>
      <c r="N74" s="186">
        <v>35.39</v>
      </c>
      <c r="O74" s="187"/>
      <c r="P74" s="186">
        <v>92.4</v>
      </c>
      <c r="Q74" s="187"/>
      <c r="R74" s="186">
        <v>0</v>
      </c>
      <c r="S74" s="187"/>
      <c r="T74" s="186">
        <v>0</v>
      </c>
      <c r="U74" s="187"/>
      <c r="V74" s="186">
        <v>141.91999999999999</v>
      </c>
      <c r="W74" s="187"/>
      <c r="X74" s="186">
        <v>0</v>
      </c>
      <c r="Y74" s="187"/>
      <c r="Z74" s="186">
        <v>0</v>
      </c>
      <c r="AA74" s="187"/>
      <c r="AB74" s="186">
        <v>0</v>
      </c>
      <c r="AC74" s="187"/>
      <c r="AD74" s="186">
        <v>200</v>
      </c>
      <c r="AE74" s="187"/>
      <c r="AF74" s="186">
        <f>ROUND(SUM(H74:AD74),5)</f>
        <v>469.71</v>
      </c>
    </row>
    <row r="75" spans="1:34" x14ac:dyDescent="0.3">
      <c r="A75" s="185"/>
      <c r="B75" s="185"/>
      <c r="C75" s="185"/>
      <c r="D75" s="185"/>
      <c r="E75" s="185"/>
      <c r="F75" s="185" t="s">
        <v>223</v>
      </c>
      <c r="G75" s="185"/>
      <c r="H75" s="186">
        <v>1559.57</v>
      </c>
      <c r="I75" s="187"/>
      <c r="J75" s="186">
        <v>950.68</v>
      </c>
      <c r="K75" s="187"/>
      <c r="L75" s="186">
        <v>57.24</v>
      </c>
      <c r="M75" s="187"/>
      <c r="N75" s="186">
        <v>0</v>
      </c>
      <c r="O75" s="187"/>
      <c r="P75" s="186">
        <v>1469.27</v>
      </c>
      <c r="Q75" s="187"/>
      <c r="R75" s="186">
        <v>0</v>
      </c>
      <c r="S75" s="187"/>
      <c r="T75" s="186">
        <v>0</v>
      </c>
      <c r="U75" s="187"/>
      <c r="V75" s="186">
        <v>1326.23</v>
      </c>
      <c r="W75" s="187"/>
      <c r="X75" s="186">
        <v>966.69</v>
      </c>
      <c r="Y75" s="187"/>
      <c r="Z75" s="186">
        <v>500</v>
      </c>
      <c r="AA75" s="187"/>
      <c r="AB75" s="186">
        <v>500</v>
      </c>
      <c r="AC75" s="187"/>
      <c r="AD75" s="186">
        <v>500</v>
      </c>
      <c r="AE75" s="187"/>
      <c r="AF75" s="186">
        <f>ROUND(SUM(H75:AD75),5)</f>
        <v>7829.68</v>
      </c>
    </row>
    <row r="76" spans="1:34" ht="13.5" thickBot="1" x14ac:dyDescent="0.35">
      <c r="A76" s="185"/>
      <c r="B76" s="185"/>
      <c r="C76" s="185"/>
      <c r="D76" s="185"/>
      <c r="E76" s="185"/>
      <c r="F76" s="185" t="s">
        <v>342</v>
      </c>
      <c r="G76" s="185"/>
      <c r="H76" s="188">
        <v>319.95</v>
      </c>
      <c r="I76" s="187"/>
      <c r="J76" s="188">
        <v>319.95</v>
      </c>
      <c r="K76" s="187"/>
      <c r="L76" s="188">
        <v>337.85</v>
      </c>
      <c r="M76" s="187"/>
      <c r="N76" s="188">
        <v>328.9</v>
      </c>
      <c r="O76" s="187"/>
      <c r="P76" s="188">
        <v>319.95</v>
      </c>
      <c r="Q76" s="187"/>
      <c r="R76" s="188">
        <v>319.95</v>
      </c>
      <c r="S76" s="187"/>
      <c r="T76" s="188">
        <v>319.95</v>
      </c>
      <c r="U76" s="187"/>
      <c r="V76" s="188">
        <v>319.95</v>
      </c>
      <c r="W76" s="187"/>
      <c r="X76" s="188">
        <v>319.95</v>
      </c>
      <c r="Y76" s="187"/>
      <c r="Z76" s="188">
        <v>319.95</v>
      </c>
      <c r="AA76" s="187"/>
      <c r="AB76" s="188">
        <v>319.95</v>
      </c>
      <c r="AC76" s="187"/>
      <c r="AD76" s="188">
        <v>319.95</v>
      </c>
      <c r="AE76" s="187"/>
      <c r="AF76" s="188">
        <f>ROUND(SUM(H76:AD76),5)</f>
        <v>3866.25</v>
      </c>
    </row>
    <row r="77" spans="1:34" x14ac:dyDescent="0.3">
      <c r="A77" s="185"/>
      <c r="B77" s="185"/>
      <c r="C77" s="185"/>
      <c r="D77" s="185"/>
      <c r="E77" s="185" t="s">
        <v>225</v>
      </c>
      <c r="F77" s="185"/>
      <c r="G77" s="185"/>
      <c r="H77" s="186">
        <f>ROUND(SUM(H73:H76),5)</f>
        <v>1879.52</v>
      </c>
      <c r="I77" s="187"/>
      <c r="J77" s="186">
        <f>ROUND(SUM(J73:J76),5)</f>
        <v>1270.6300000000001</v>
      </c>
      <c r="K77" s="187"/>
      <c r="L77" s="186">
        <f>ROUND(SUM(L73:L76),5)</f>
        <v>395.09</v>
      </c>
      <c r="M77" s="187"/>
      <c r="N77" s="186">
        <f>ROUND(SUM(N73:N76),5)</f>
        <v>364.29</v>
      </c>
      <c r="O77" s="187"/>
      <c r="P77" s="186">
        <f>ROUND(SUM(P73:P76),5)</f>
        <v>1881.62</v>
      </c>
      <c r="Q77" s="187"/>
      <c r="R77" s="186">
        <f>ROUND(SUM(R73:R76),5)</f>
        <v>319.95</v>
      </c>
      <c r="S77" s="187"/>
      <c r="T77" s="186">
        <f>ROUND(SUM(T73:T76),5)</f>
        <v>319.95</v>
      </c>
      <c r="U77" s="187"/>
      <c r="V77" s="186">
        <f>ROUND(SUM(V73:V76),5)</f>
        <v>1788.1</v>
      </c>
      <c r="W77" s="187"/>
      <c r="X77" s="186">
        <f>ROUND(SUM(X73:X76),5)</f>
        <v>1286.6400000000001</v>
      </c>
      <c r="Y77" s="187"/>
      <c r="Z77" s="186">
        <f>ROUND(SUM(Z73:Z76),5)</f>
        <v>819.95</v>
      </c>
      <c r="AA77" s="187"/>
      <c r="AB77" s="186">
        <f>ROUND(SUM(AB73:AB76),5)</f>
        <v>819.95</v>
      </c>
      <c r="AC77" s="187"/>
      <c r="AD77" s="186">
        <f>ROUND(SUM(AD73:AD76),5)</f>
        <v>1019.95</v>
      </c>
      <c r="AE77" s="187"/>
      <c r="AF77" s="186">
        <f>ROUND(SUM(H77:AD77),5)</f>
        <v>12165.64</v>
      </c>
      <c r="AH77" s="295">
        <f>+AH70+AF113</f>
        <v>669810.57394999999</v>
      </c>
    </row>
    <row r="78" spans="1:34" x14ac:dyDescent="0.3">
      <c r="A78" s="185"/>
      <c r="B78" s="185"/>
      <c r="C78" s="185"/>
      <c r="D78" s="185"/>
      <c r="E78" s="185" t="s">
        <v>226</v>
      </c>
      <c r="F78" s="185"/>
      <c r="G78" s="185"/>
      <c r="H78" s="186"/>
      <c r="I78" s="187"/>
      <c r="J78" s="186"/>
      <c r="K78" s="187"/>
      <c r="L78" s="186"/>
      <c r="M78" s="187"/>
      <c r="N78" s="186"/>
      <c r="O78" s="187"/>
      <c r="P78" s="186"/>
      <c r="Q78" s="187"/>
      <c r="R78" s="186"/>
      <c r="S78" s="187"/>
      <c r="T78" s="186"/>
      <c r="U78" s="187"/>
      <c r="V78" s="186"/>
      <c r="W78" s="187"/>
      <c r="X78" s="186"/>
      <c r="Y78" s="187"/>
      <c r="Z78" s="186"/>
      <c r="AA78" s="187"/>
      <c r="AB78" s="186"/>
      <c r="AC78" s="187"/>
      <c r="AD78" s="186"/>
      <c r="AE78" s="187"/>
      <c r="AF78" s="186"/>
    </row>
    <row r="79" spans="1:34" x14ac:dyDescent="0.3">
      <c r="A79" s="185"/>
      <c r="B79" s="185"/>
      <c r="C79" s="185"/>
      <c r="D79" s="185"/>
      <c r="E79" s="185"/>
      <c r="F79" s="185" t="s">
        <v>343</v>
      </c>
      <c r="G79" s="185"/>
      <c r="H79" s="186">
        <v>1012.8</v>
      </c>
      <c r="I79" s="187"/>
      <c r="J79" s="186">
        <v>1382.4</v>
      </c>
      <c r="K79" s="187"/>
      <c r="L79" s="186">
        <v>1317.6</v>
      </c>
      <c r="M79" s="187"/>
      <c r="N79" s="186">
        <v>1414.2</v>
      </c>
      <c r="O79" s="187"/>
      <c r="P79" s="186">
        <v>1073.5999999999999</v>
      </c>
      <c r="Q79" s="187"/>
      <c r="R79" s="186">
        <v>1060</v>
      </c>
      <c r="S79" s="187"/>
      <c r="T79" s="186">
        <v>1979.2</v>
      </c>
      <c r="U79" s="187"/>
      <c r="V79" s="186">
        <v>1512.8</v>
      </c>
      <c r="W79" s="187"/>
      <c r="X79" s="186">
        <v>1512.8</v>
      </c>
      <c r="Y79" s="187"/>
      <c r="Z79" s="186">
        <v>1512.8</v>
      </c>
      <c r="AA79" s="187"/>
      <c r="AB79" s="186">
        <v>1512.8</v>
      </c>
      <c r="AC79" s="187"/>
      <c r="AD79" s="186">
        <v>1512.8</v>
      </c>
      <c r="AE79" s="187"/>
      <c r="AF79" s="186">
        <f>ROUND(SUM(H79:AD79),5)</f>
        <v>16803.8</v>
      </c>
    </row>
    <row r="80" spans="1:34" x14ac:dyDescent="0.3">
      <c r="A80" s="185"/>
      <c r="B80" s="185"/>
      <c r="C80" s="185"/>
      <c r="D80" s="185"/>
      <c r="E80" s="185"/>
      <c r="F80" s="185" t="s">
        <v>344</v>
      </c>
      <c r="G80" s="185"/>
      <c r="H80" s="186">
        <v>35.81</v>
      </c>
      <c r="I80" s="187"/>
      <c r="J80" s="186">
        <v>155.16</v>
      </c>
      <c r="K80" s="187"/>
      <c r="L80" s="186">
        <v>194.94</v>
      </c>
      <c r="M80" s="187"/>
      <c r="N80" s="186">
        <v>230.75</v>
      </c>
      <c r="O80" s="187"/>
      <c r="P80" s="186">
        <v>117.36</v>
      </c>
      <c r="Q80" s="187"/>
      <c r="R80" s="186">
        <v>87.52</v>
      </c>
      <c r="S80" s="187"/>
      <c r="T80" s="186">
        <v>181.02</v>
      </c>
      <c r="U80" s="187"/>
      <c r="V80" s="186">
        <v>181.02</v>
      </c>
      <c r="W80" s="187"/>
      <c r="X80" s="186">
        <v>181.02</v>
      </c>
      <c r="Y80" s="187"/>
      <c r="Z80" s="186">
        <v>181.02</v>
      </c>
      <c r="AA80" s="187"/>
      <c r="AB80" s="186">
        <v>181.02</v>
      </c>
      <c r="AC80" s="187"/>
      <c r="AD80" s="186">
        <v>181.02</v>
      </c>
      <c r="AE80" s="187"/>
      <c r="AF80" s="186">
        <f>ROUND(SUM(H80:AD80),5)</f>
        <v>1907.66</v>
      </c>
    </row>
    <row r="81" spans="1:32" ht="13.5" thickBot="1" x14ac:dyDescent="0.35">
      <c r="A81" s="185"/>
      <c r="B81" s="185"/>
      <c r="C81" s="185"/>
      <c r="D81" s="185"/>
      <c r="E81" s="185"/>
      <c r="F81" s="185" t="s">
        <v>345</v>
      </c>
      <c r="G81" s="185"/>
      <c r="H81" s="188">
        <v>0</v>
      </c>
      <c r="I81" s="187"/>
      <c r="J81" s="188">
        <v>0</v>
      </c>
      <c r="K81" s="187"/>
      <c r="L81" s="188">
        <v>0</v>
      </c>
      <c r="M81" s="187"/>
      <c r="N81" s="188">
        <v>287.27999999999997</v>
      </c>
      <c r="O81" s="187"/>
      <c r="P81" s="188">
        <v>600.89</v>
      </c>
      <c r="Q81" s="187"/>
      <c r="R81" s="188">
        <v>782.84</v>
      </c>
      <c r="S81" s="187"/>
      <c r="T81" s="188">
        <v>1375.35</v>
      </c>
      <c r="U81" s="187"/>
      <c r="V81" s="188">
        <v>769.67</v>
      </c>
      <c r="W81" s="187"/>
      <c r="X81" s="188">
        <v>769.67</v>
      </c>
      <c r="Y81" s="187"/>
      <c r="Z81" s="188">
        <v>769.67</v>
      </c>
      <c r="AA81" s="187"/>
      <c r="AB81" s="188">
        <v>769.67</v>
      </c>
      <c r="AC81" s="187"/>
      <c r="AD81" s="188">
        <v>769.67</v>
      </c>
      <c r="AE81" s="187"/>
      <c r="AF81" s="188">
        <f>ROUND(SUM(H81:AD81),5)</f>
        <v>6894.71</v>
      </c>
    </row>
    <row r="82" spans="1:32" x14ac:dyDescent="0.3">
      <c r="A82" s="185"/>
      <c r="B82" s="185"/>
      <c r="C82" s="185"/>
      <c r="D82" s="185"/>
      <c r="E82" s="185" t="s">
        <v>231</v>
      </c>
      <c r="F82" s="185"/>
      <c r="G82" s="185"/>
      <c r="H82" s="186">
        <f>ROUND(SUM(H78:H81),5)</f>
        <v>1048.6099999999999</v>
      </c>
      <c r="I82" s="187"/>
      <c r="J82" s="186">
        <f>ROUND(SUM(J78:J81),5)</f>
        <v>1537.56</v>
      </c>
      <c r="K82" s="187"/>
      <c r="L82" s="186">
        <f>ROUND(SUM(L78:L81),5)</f>
        <v>1512.54</v>
      </c>
      <c r="M82" s="187"/>
      <c r="N82" s="186">
        <f>ROUND(SUM(N78:N81),5)</f>
        <v>1932.23</v>
      </c>
      <c r="O82" s="187"/>
      <c r="P82" s="186">
        <f>ROUND(SUM(P78:P81),5)</f>
        <v>1791.85</v>
      </c>
      <c r="Q82" s="187"/>
      <c r="R82" s="186">
        <f>ROUND(SUM(R78:R81),5)</f>
        <v>1930.36</v>
      </c>
      <c r="S82" s="187"/>
      <c r="T82" s="186">
        <f>ROUND(SUM(T78:T81),5)</f>
        <v>3535.57</v>
      </c>
      <c r="U82" s="187"/>
      <c r="V82" s="186">
        <f>ROUND(SUM(V78:V81),5)</f>
        <v>2463.4899999999998</v>
      </c>
      <c r="W82" s="187"/>
      <c r="X82" s="186">
        <f>ROUND(SUM(X78:X81),5)</f>
        <v>2463.4899999999998</v>
      </c>
      <c r="Y82" s="187"/>
      <c r="Z82" s="186">
        <f>ROUND(SUM(Z78:Z81),5)</f>
        <v>2463.4899999999998</v>
      </c>
      <c r="AA82" s="187"/>
      <c r="AB82" s="186">
        <f>ROUND(SUM(AB78:AB81),5)</f>
        <v>2463.4899999999998</v>
      </c>
      <c r="AC82" s="187"/>
      <c r="AD82" s="186">
        <f>ROUND(SUM(AD78:AD81),5)</f>
        <v>2463.4899999999998</v>
      </c>
      <c r="AE82" s="187"/>
      <c r="AF82" s="186">
        <f>ROUND(SUM(H82:AD82),5)</f>
        <v>25606.17</v>
      </c>
    </row>
    <row r="83" spans="1:32" x14ac:dyDescent="0.3">
      <c r="A83" s="185"/>
      <c r="B83" s="185"/>
      <c r="C83" s="185"/>
      <c r="D83" s="185"/>
      <c r="E83" s="185" t="s">
        <v>232</v>
      </c>
      <c r="F83" s="185"/>
      <c r="G83" s="185"/>
      <c r="H83" s="186"/>
      <c r="I83" s="187"/>
      <c r="J83" s="186"/>
      <c r="K83" s="187"/>
      <c r="L83" s="186"/>
      <c r="M83" s="187"/>
      <c r="N83" s="186"/>
      <c r="O83" s="187"/>
      <c r="P83" s="186"/>
      <c r="Q83" s="187"/>
      <c r="R83" s="186"/>
      <c r="S83" s="187"/>
      <c r="T83" s="186"/>
      <c r="U83" s="187"/>
      <c r="V83" s="186"/>
      <c r="W83" s="187"/>
      <c r="X83" s="186"/>
      <c r="Y83" s="187"/>
      <c r="Z83" s="186"/>
      <c r="AA83" s="187"/>
      <c r="AB83" s="186"/>
      <c r="AC83" s="187"/>
      <c r="AD83" s="186"/>
      <c r="AE83" s="187"/>
      <c r="AF83" s="186"/>
    </row>
    <row r="84" spans="1:32" x14ac:dyDescent="0.3">
      <c r="A84" s="185"/>
      <c r="B84" s="185"/>
      <c r="C84" s="185"/>
      <c r="D84" s="185"/>
      <c r="E84" s="185"/>
      <c r="F84" s="185" t="s">
        <v>233</v>
      </c>
      <c r="G84" s="185"/>
      <c r="H84" s="186">
        <v>436.61</v>
      </c>
      <c r="I84" s="187"/>
      <c r="J84" s="186">
        <v>453.47</v>
      </c>
      <c r="K84" s="187"/>
      <c r="L84" s="186">
        <v>1438.52</v>
      </c>
      <c r="M84" s="187"/>
      <c r="N84" s="186">
        <v>1038.02</v>
      </c>
      <c r="O84" s="187"/>
      <c r="P84" s="186">
        <v>1335.56</v>
      </c>
      <c r="Q84" s="187"/>
      <c r="R84" s="186">
        <v>753.04</v>
      </c>
      <c r="S84" s="187"/>
      <c r="T84" s="186">
        <v>835.91</v>
      </c>
      <c r="U84" s="187"/>
      <c r="V84" s="186">
        <v>1016.06</v>
      </c>
      <c r="W84" s="187"/>
      <c r="X84" s="186">
        <v>991.2</v>
      </c>
      <c r="Y84" s="187"/>
      <c r="Z84" s="186">
        <v>0</v>
      </c>
      <c r="AA84" s="187"/>
      <c r="AB84" s="186">
        <v>0</v>
      </c>
      <c r="AC84" s="187"/>
      <c r="AD84" s="186">
        <v>0</v>
      </c>
      <c r="AE84" s="187"/>
      <c r="AF84" s="186">
        <f>ROUND(SUM(H84:AD84),5)</f>
        <v>8298.39</v>
      </c>
    </row>
    <row r="85" spans="1:32" ht="13.5" thickBot="1" x14ac:dyDescent="0.35">
      <c r="A85" s="185"/>
      <c r="B85" s="185"/>
      <c r="C85" s="185"/>
      <c r="D85" s="185"/>
      <c r="E85" s="185"/>
      <c r="F85" s="185" t="s">
        <v>346</v>
      </c>
      <c r="G85" s="185"/>
      <c r="H85" s="188">
        <v>0</v>
      </c>
      <c r="I85" s="187"/>
      <c r="J85" s="188">
        <v>5699.25</v>
      </c>
      <c r="K85" s="187"/>
      <c r="L85" s="188">
        <v>12031.75</v>
      </c>
      <c r="M85" s="187"/>
      <c r="N85" s="188">
        <v>9441.9500000000007</v>
      </c>
      <c r="O85" s="187"/>
      <c r="P85" s="188">
        <v>4805.25</v>
      </c>
      <c r="Q85" s="187"/>
      <c r="R85" s="188">
        <v>3523.85</v>
      </c>
      <c r="S85" s="187"/>
      <c r="T85" s="188">
        <v>5364</v>
      </c>
      <c r="U85" s="187"/>
      <c r="V85" s="188">
        <v>6928.5</v>
      </c>
      <c r="W85" s="187"/>
      <c r="X85" s="188">
        <v>5364</v>
      </c>
      <c r="Y85" s="187"/>
      <c r="Z85" s="188">
        <v>5364</v>
      </c>
      <c r="AA85" s="187"/>
      <c r="AB85" s="188">
        <v>5364</v>
      </c>
      <c r="AC85" s="187"/>
      <c r="AD85" s="188">
        <v>0</v>
      </c>
      <c r="AE85" s="187"/>
      <c r="AF85" s="188">
        <f>ROUND(SUM(H85:AD85),5)</f>
        <v>63886.55</v>
      </c>
    </row>
    <row r="86" spans="1:32" x14ac:dyDescent="0.3">
      <c r="A86" s="185"/>
      <c r="B86" s="185"/>
      <c r="C86" s="185"/>
      <c r="D86" s="185"/>
      <c r="E86" s="185" t="s">
        <v>235</v>
      </c>
      <c r="F86" s="185"/>
      <c r="G86" s="185"/>
      <c r="H86" s="186">
        <f>ROUND(SUM(H83:H85),5)</f>
        <v>436.61</v>
      </c>
      <c r="I86" s="187"/>
      <c r="J86" s="186">
        <f>ROUND(SUM(J83:J85),5)</f>
        <v>6152.72</v>
      </c>
      <c r="K86" s="187"/>
      <c r="L86" s="186">
        <f>ROUND(SUM(L83:L85),5)</f>
        <v>13470.27</v>
      </c>
      <c r="M86" s="187"/>
      <c r="N86" s="186">
        <f>ROUND(SUM(N83:N85),5)</f>
        <v>10479.969999999999</v>
      </c>
      <c r="O86" s="187"/>
      <c r="P86" s="186">
        <f>ROUND(SUM(P83:P85),5)</f>
        <v>6140.81</v>
      </c>
      <c r="Q86" s="187"/>
      <c r="R86" s="186">
        <f>ROUND(SUM(R83:R85),5)</f>
        <v>4276.8900000000003</v>
      </c>
      <c r="S86" s="187"/>
      <c r="T86" s="186">
        <f>ROUND(SUM(T83:T85),5)</f>
        <v>6199.91</v>
      </c>
      <c r="U86" s="187"/>
      <c r="V86" s="186">
        <f>ROUND(SUM(V83:V85),5)</f>
        <v>7944.56</v>
      </c>
      <c r="W86" s="187"/>
      <c r="X86" s="186">
        <f>ROUND(SUM(X83:X85),5)</f>
        <v>6355.2</v>
      </c>
      <c r="Y86" s="187"/>
      <c r="Z86" s="186">
        <f>ROUND(SUM(Z83:Z85),5)</f>
        <v>5364</v>
      </c>
      <c r="AA86" s="187"/>
      <c r="AB86" s="186">
        <f>ROUND(SUM(AB83:AB85),5)</f>
        <v>5364</v>
      </c>
      <c r="AC86" s="187"/>
      <c r="AD86" s="186">
        <f>ROUND(SUM(AD83:AD85),5)</f>
        <v>0</v>
      </c>
      <c r="AE86" s="187"/>
      <c r="AF86" s="186">
        <f>ROUND(SUM(H86:AD86),5)</f>
        <v>72184.94</v>
      </c>
    </row>
    <row r="87" spans="1:32" x14ac:dyDescent="0.3">
      <c r="A87" s="185"/>
      <c r="B87" s="185"/>
      <c r="C87" s="185"/>
      <c r="D87" s="185"/>
      <c r="E87" s="185" t="s">
        <v>236</v>
      </c>
      <c r="F87" s="185"/>
      <c r="G87" s="185"/>
      <c r="H87" s="186"/>
      <c r="I87" s="187"/>
      <c r="J87" s="186"/>
      <c r="K87" s="187"/>
      <c r="L87" s="186"/>
      <c r="M87" s="187"/>
      <c r="N87" s="186"/>
      <c r="O87" s="187"/>
      <c r="P87" s="186"/>
      <c r="Q87" s="187"/>
      <c r="R87" s="186"/>
      <c r="S87" s="187"/>
      <c r="T87" s="186"/>
      <c r="U87" s="187"/>
      <c r="V87" s="186"/>
      <c r="W87" s="187"/>
      <c r="X87" s="186"/>
      <c r="Y87" s="187"/>
      <c r="Z87" s="186"/>
      <c r="AA87" s="187"/>
      <c r="AB87" s="186"/>
      <c r="AC87" s="187"/>
      <c r="AD87" s="186"/>
      <c r="AE87" s="187"/>
      <c r="AF87" s="186"/>
    </row>
    <row r="88" spans="1:32" ht="13.5" thickBot="1" x14ac:dyDescent="0.35">
      <c r="A88" s="185"/>
      <c r="B88" s="185"/>
      <c r="C88" s="185"/>
      <c r="D88" s="185"/>
      <c r="E88" s="185"/>
      <c r="F88" s="185" t="s">
        <v>347</v>
      </c>
      <c r="G88" s="185"/>
      <c r="H88" s="188">
        <v>830.52</v>
      </c>
      <c r="I88" s="187"/>
      <c r="J88" s="188">
        <v>5500</v>
      </c>
      <c r="K88" s="187"/>
      <c r="L88" s="188">
        <v>12820</v>
      </c>
      <c r="M88" s="187"/>
      <c r="N88" s="188">
        <v>14835</v>
      </c>
      <c r="O88" s="187"/>
      <c r="P88" s="188">
        <v>9195</v>
      </c>
      <c r="Q88" s="187"/>
      <c r="R88" s="188">
        <v>6600</v>
      </c>
      <c r="S88" s="187"/>
      <c r="T88" s="188">
        <v>12115</v>
      </c>
      <c r="U88" s="187"/>
      <c r="V88" s="188">
        <v>14795</v>
      </c>
      <c r="W88" s="187"/>
      <c r="X88" s="188">
        <v>14795</v>
      </c>
      <c r="Y88" s="187"/>
      <c r="Z88" s="188">
        <v>14795</v>
      </c>
      <c r="AA88" s="187"/>
      <c r="AB88" s="188">
        <v>14795</v>
      </c>
      <c r="AC88" s="187"/>
      <c r="AD88" s="188">
        <v>0</v>
      </c>
      <c r="AE88" s="187"/>
      <c r="AF88" s="188">
        <f>ROUND(SUM(H88:AD88),5)</f>
        <v>121075.52</v>
      </c>
    </row>
    <row r="89" spans="1:32" x14ac:dyDescent="0.3">
      <c r="A89" s="185"/>
      <c r="B89" s="185"/>
      <c r="C89" s="185"/>
      <c r="D89" s="185"/>
      <c r="E89" s="185" t="s">
        <v>238</v>
      </c>
      <c r="F89" s="185"/>
      <c r="G89" s="185"/>
      <c r="H89" s="186">
        <f>ROUND(SUM(H87:H88),5)</f>
        <v>830.52</v>
      </c>
      <c r="I89" s="187"/>
      <c r="J89" s="186">
        <f>ROUND(SUM(J87:J88),5)</f>
        <v>5500</v>
      </c>
      <c r="K89" s="187"/>
      <c r="L89" s="186">
        <f>ROUND(SUM(L87:L88),5)</f>
        <v>12820</v>
      </c>
      <c r="M89" s="187"/>
      <c r="N89" s="186">
        <f>ROUND(SUM(N87:N88),5)</f>
        <v>14835</v>
      </c>
      <c r="O89" s="187"/>
      <c r="P89" s="186">
        <f>ROUND(SUM(P87:P88),5)</f>
        <v>9195</v>
      </c>
      <c r="Q89" s="187"/>
      <c r="R89" s="186">
        <f>ROUND(SUM(R87:R88),5)</f>
        <v>6600</v>
      </c>
      <c r="S89" s="187"/>
      <c r="T89" s="186">
        <f>ROUND(SUM(T87:T88),5)</f>
        <v>12115</v>
      </c>
      <c r="U89" s="187"/>
      <c r="V89" s="186">
        <f>ROUND(SUM(V87:V88),5)</f>
        <v>14795</v>
      </c>
      <c r="W89" s="187"/>
      <c r="X89" s="186">
        <f>ROUND(SUM(X87:X88),5)</f>
        <v>14795</v>
      </c>
      <c r="Y89" s="187"/>
      <c r="Z89" s="186">
        <f>ROUND(SUM(Z87:Z88),5)</f>
        <v>14795</v>
      </c>
      <c r="AA89" s="187"/>
      <c r="AB89" s="186">
        <f>ROUND(SUM(AB87:AB88),5)</f>
        <v>14795</v>
      </c>
      <c r="AC89" s="187"/>
      <c r="AD89" s="186">
        <f>ROUND(SUM(AD87:AD88),5)</f>
        <v>0</v>
      </c>
      <c r="AE89" s="187"/>
      <c r="AF89" s="186">
        <f>ROUND(SUM(H89:AD89),5)</f>
        <v>121075.52</v>
      </c>
    </row>
    <row r="90" spans="1:32" x14ac:dyDescent="0.3">
      <c r="A90" s="185"/>
      <c r="B90" s="185"/>
      <c r="C90" s="185"/>
      <c r="D90" s="185"/>
      <c r="E90" s="185" t="s">
        <v>239</v>
      </c>
      <c r="F90" s="185"/>
      <c r="G90" s="185"/>
      <c r="H90" s="186"/>
      <c r="I90" s="187"/>
      <c r="J90" s="186"/>
      <c r="K90" s="187"/>
      <c r="L90" s="186"/>
      <c r="M90" s="187"/>
      <c r="N90" s="186"/>
      <c r="O90" s="187"/>
      <c r="P90" s="186"/>
      <c r="Q90" s="187"/>
      <c r="R90" s="186"/>
      <c r="S90" s="187"/>
      <c r="T90" s="186"/>
      <c r="U90" s="187"/>
      <c r="V90" s="186"/>
      <c r="W90" s="187"/>
      <c r="X90" s="186"/>
      <c r="Y90" s="187"/>
      <c r="Z90" s="186"/>
      <c r="AA90" s="187"/>
      <c r="AB90" s="186"/>
      <c r="AC90" s="187"/>
      <c r="AD90" s="186"/>
      <c r="AE90" s="187"/>
      <c r="AF90" s="186"/>
    </row>
    <row r="91" spans="1:32" x14ac:dyDescent="0.3">
      <c r="A91" s="185"/>
      <c r="B91" s="185"/>
      <c r="C91" s="185"/>
      <c r="D91" s="185"/>
      <c r="E91" s="185"/>
      <c r="F91" s="185" t="s">
        <v>240</v>
      </c>
      <c r="G91" s="185"/>
      <c r="H91" s="186"/>
      <c r="I91" s="187"/>
      <c r="J91" s="186"/>
      <c r="K91" s="187"/>
      <c r="L91" s="186"/>
      <c r="M91" s="187"/>
      <c r="N91" s="186"/>
      <c r="O91" s="187"/>
      <c r="P91" s="186"/>
      <c r="Q91" s="187"/>
      <c r="R91" s="186"/>
      <c r="S91" s="187"/>
      <c r="T91" s="186"/>
      <c r="U91" s="187"/>
      <c r="V91" s="186"/>
      <c r="W91" s="187"/>
      <c r="X91" s="186"/>
      <c r="Y91" s="187"/>
      <c r="Z91" s="186"/>
      <c r="AA91" s="187"/>
      <c r="AB91" s="186"/>
      <c r="AC91" s="187"/>
      <c r="AD91" s="186"/>
      <c r="AE91" s="187"/>
      <c r="AF91" s="186"/>
    </row>
    <row r="92" spans="1:32" x14ac:dyDescent="0.3">
      <c r="A92" s="185"/>
      <c r="B92" s="185"/>
      <c r="C92" s="185"/>
      <c r="D92" s="185"/>
      <c r="E92" s="185"/>
      <c r="F92" s="185"/>
      <c r="G92" s="185" t="s">
        <v>241</v>
      </c>
      <c r="H92" s="186">
        <v>3265.84</v>
      </c>
      <c r="I92" s="187"/>
      <c r="J92" s="186">
        <v>4466.13</v>
      </c>
      <c r="K92" s="187"/>
      <c r="L92" s="186">
        <v>17730</v>
      </c>
      <c r="M92" s="187"/>
      <c r="N92" s="186">
        <v>0</v>
      </c>
      <c r="O92" s="187"/>
      <c r="P92" s="186">
        <v>218.61</v>
      </c>
      <c r="Q92" s="187"/>
      <c r="R92" s="186">
        <v>821.76</v>
      </c>
      <c r="S92" s="187"/>
      <c r="T92" s="186">
        <v>224.99</v>
      </c>
      <c r="U92" s="187"/>
      <c r="V92" s="186">
        <v>1304.53</v>
      </c>
      <c r="W92" s="187"/>
      <c r="X92" s="186">
        <v>1105.6099999999999</v>
      </c>
      <c r="Y92" s="187"/>
      <c r="Z92" s="186">
        <v>700</v>
      </c>
      <c r="AA92" s="187"/>
      <c r="AB92" s="186">
        <v>0</v>
      </c>
      <c r="AC92" s="187"/>
      <c r="AD92" s="186">
        <v>0</v>
      </c>
      <c r="AE92" s="187"/>
      <c r="AF92" s="186">
        <f t="shared" ref="AF92:AF97" si="4">ROUND(SUM(H92:AD92),5)</f>
        <v>29837.47</v>
      </c>
    </row>
    <row r="93" spans="1:32" x14ac:dyDescent="0.3">
      <c r="A93" s="185"/>
      <c r="B93" s="185"/>
      <c r="C93" s="185"/>
      <c r="D93" s="185"/>
      <c r="E93" s="185"/>
      <c r="F93" s="185"/>
      <c r="G93" s="185" t="s">
        <v>242</v>
      </c>
      <c r="H93" s="186">
        <v>2456.23</v>
      </c>
      <c r="I93" s="187"/>
      <c r="J93" s="186">
        <v>918.25</v>
      </c>
      <c r="K93" s="187"/>
      <c r="L93" s="186">
        <v>960.7</v>
      </c>
      <c r="M93" s="187"/>
      <c r="N93" s="186">
        <v>0</v>
      </c>
      <c r="O93" s="187"/>
      <c r="P93" s="186">
        <v>1326.01</v>
      </c>
      <c r="Q93" s="187"/>
      <c r="R93" s="186">
        <v>1088.1600000000001</v>
      </c>
      <c r="S93" s="187"/>
      <c r="T93" s="186">
        <v>999.03</v>
      </c>
      <c r="U93" s="187"/>
      <c r="V93" s="186">
        <v>3344.7</v>
      </c>
      <c r="W93" s="187"/>
      <c r="X93" s="186">
        <v>523.9</v>
      </c>
      <c r="Y93" s="187"/>
      <c r="Z93" s="186">
        <v>0</v>
      </c>
      <c r="AA93" s="187"/>
      <c r="AB93" s="186">
        <v>0</v>
      </c>
      <c r="AC93" s="187"/>
      <c r="AD93" s="186">
        <v>0</v>
      </c>
      <c r="AE93" s="187"/>
      <c r="AF93" s="186">
        <f t="shared" si="4"/>
        <v>11616.98</v>
      </c>
    </row>
    <row r="94" spans="1:32" x14ac:dyDescent="0.3">
      <c r="A94" s="185"/>
      <c r="B94" s="185"/>
      <c r="C94" s="185"/>
      <c r="D94" s="185"/>
      <c r="E94" s="185"/>
      <c r="F94" s="185"/>
      <c r="G94" s="185" t="s">
        <v>243</v>
      </c>
      <c r="H94" s="186">
        <v>6387.05</v>
      </c>
      <c r="I94" s="187"/>
      <c r="J94" s="186">
        <v>654.78</v>
      </c>
      <c r="K94" s="187"/>
      <c r="L94" s="186">
        <v>1048.43</v>
      </c>
      <c r="M94" s="187"/>
      <c r="N94" s="186">
        <v>433.59</v>
      </c>
      <c r="O94" s="187"/>
      <c r="P94" s="186">
        <v>1075.8</v>
      </c>
      <c r="Q94" s="187"/>
      <c r="R94" s="186">
        <v>3403.53</v>
      </c>
      <c r="S94" s="187"/>
      <c r="T94" s="186">
        <v>109.59</v>
      </c>
      <c r="U94" s="187"/>
      <c r="V94" s="186">
        <v>1452.87</v>
      </c>
      <c r="W94" s="187"/>
      <c r="X94" s="186">
        <v>95.59</v>
      </c>
      <c r="Y94" s="187"/>
      <c r="Z94" s="186">
        <v>300</v>
      </c>
      <c r="AA94" s="187"/>
      <c r="AB94" s="186">
        <v>0</v>
      </c>
      <c r="AC94" s="187"/>
      <c r="AD94" s="186">
        <v>0</v>
      </c>
      <c r="AE94" s="187"/>
      <c r="AF94" s="186">
        <f t="shared" si="4"/>
        <v>14961.23</v>
      </c>
    </row>
    <row r="95" spans="1:32" ht="13.5" thickBot="1" x14ac:dyDescent="0.35">
      <c r="A95" s="185"/>
      <c r="B95" s="185"/>
      <c r="C95" s="185"/>
      <c r="D95" s="185"/>
      <c r="E95" s="185"/>
      <c r="F95" s="185"/>
      <c r="G95" s="185" t="s">
        <v>244</v>
      </c>
      <c r="H95" s="186">
        <v>604.59</v>
      </c>
      <c r="I95" s="187"/>
      <c r="J95" s="186">
        <v>495</v>
      </c>
      <c r="K95" s="187"/>
      <c r="L95" s="186">
        <v>0</v>
      </c>
      <c r="M95" s="187"/>
      <c r="N95" s="186">
        <v>0</v>
      </c>
      <c r="O95" s="187"/>
      <c r="P95" s="186">
        <v>0</v>
      </c>
      <c r="Q95" s="187"/>
      <c r="R95" s="186">
        <v>0</v>
      </c>
      <c r="S95" s="187"/>
      <c r="T95" s="186">
        <v>0</v>
      </c>
      <c r="U95" s="187"/>
      <c r="V95" s="186">
        <v>495</v>
      </c>
      <c r="W95" s="187"/>
      <c r="X95" s="186">
        <v>0</v>
      </c>
      <c r="Y95" s="187"/>
      <c r="Z95" s="186">
        <v>0</v>
      </c>
      <c r="AA95" s="187"/>
      <c r="AB95" s="186">
        <v>0</v>
      </c>
      <c r="AC95" s="187"/>
      <c r="AD95" s="186">
        <v>0</v>
      </c>
      <c r="AE95" s="187"/>
      <c r="AF95" s="186">
        <f t="shared" si="4"/>
        <v>1594.59</v>
      </c>
    </row>
    <row r="96" spans="1:32" ht="13.5" thickBot="1" x14ac:dyDescent="0.35">
      <c r="A96" s="185"/>
      <c r="B96" s="185"/>
      <c r="C96" s="185"/>
      <c r="D96" s="185"/>
      <c r="E96" s="185"/>
      <c r="F96" s="185" t="s">
        <v>245</v>
      </c>
      <c r="G96" s="185"/>
      <c r="H96" s="191">
        <f>ROUND(SUM(H91:H95),5)</f>
        <v>12713.71</v>
      </c>
      <c r="I96" s="187"/>
      <c r="J96" s="191">
        <f>ROUND(SUM(J91:J95),5)</f>
        <v>6534.16</v>
      </c>
      <c r="K96" s="187"/>
      <c r="L96" s="191">
        <f>ROUND(SUM(L91:L95),5)</f>
        <v>19739.13</v>
      </c>
      <c r="M96" s="187"/>
      <c r="N96" s="191">
        <f>ROUND(SUM(N91:N95),5)</f>
        <v>433.59</v>
      </c>
      <c r="O96" s="187"/>
      <c r="P96" s="191">
        <f>ROUND(SUM(P91:P95),5)</f>
        <v>2620.42</v>
      </c>
      <c r="Q96" s="187"/>
      <c r="R96" s="191">
        <f>ROUND(SUM(R91:R95),5)</f>
        <v>5313.45</v>
      </c>
      <c r="S96" s="187"/>
      <c r="T96" s="191">
        <f>ROUND(SUM(T91:T95),5)</f>
        <v>1333.61</v>
      </c>
      <c r="U96" s="187"/>
      <c r="V96" s="191">
        <f>ROUND(SUM(V91:V95),5)</f>
        <v>6597.1</v>
      </c>
      <c r="W96" s="187"/>
      <c r="X96" s="191">
        <f>ROUND(SUM(X91:X95),5)</f>
        <v>1725.1</v>
      </c>
      <c r="Y96" s="187"/>
      <c r="Z96" s="191">
        <f>ROUND(SUM(Z91:Z95),5)</f>
        <v>1000</v>
      </c>
      <c r="AA96" s="187"/>
      <c r="AB96" s="191">
        <f>ROUND(SUM(AB91:AB95),5)</f>
        <v>0</v>
      </c>
      <c r="AC96" s="187"/>
      <c r="AD96" s="191">
        <f>ROUND(SUM(AD91:AD95),5)</f>
        <v>0</v>
      </c>
      <c r="AE96" s="187"/>
      <c r="AF96" s="191">
        <f t="shared" si="4"/>
        <v>58010.27</v>
      </c>
    </row>
    <row r="97" spans="1:35" x14ac:dyDescent="0.3">
      <c r="A97" s="185"/>
      <c r="B97" s="185"/>
      <c r="C97" s="185"/>
      <c r="D97" s="185"/>
      <c r="E97" s="185" t="s">
        <v>246</v>
      </c>
      <c r="F97" s="185"/>
      <c r="G97" s="185"/>
      <c r="H97" s="186">
        <f>ROUND(H90+H96,5)</f>
        <v>12713.71</v>
      </c>
      <c r="I97" s="187"/>
      <c r="J97" s="186">
        <f>ROUND(J90+J96,5)</f>
        <v>6534.16</v>
      </c>
      <c r="K97" s="187"/>
      <c r="L97" s="186">
        <f>ROUND(L90+L96,5)</f>
        <v>19739.13</v>
      </c>
      <c r="M97" s="187"/>
      <c r="N97" s="186">
        <f>ROUND(N90+N96,5)</f>
        <v>433.59</v>
      </c>
      <c r="O97" s="187"/>
      <c r="P97" s="186">
        <f>ROUND(P90+P96,5)</f>
        <v>2620.42</v>
      </c>
      <c r="Q97" s="187"/>
      <c r="R97" s="186">
        <f>ROUND(R90+R96,5)</f>
        <v>5313.45</v>
      </c>
      <c r="S97" s="187"/>
      <c r="T97" s="186">
        <f>ROUND(T90+T96,5)</f>
        <v>1333.61</v>
      </c>
      <c r="U97" s="187"/>
      <c r="V97" s="186">
        <f>ROUND(V90+V96,5)</f>
        <v>6597.1</v>
      </c>
      <c r="W97" s="187"/>
      <c r="X97" s="186">
        <f>ROUND(X90+X96,5)</f>
        <v>1725.1</v>
      </c>
      <c r="Y97" s="187"/>
      <c r="Z97" s="186">
        <f>ROUND(Z90+Z96,5)</f>
        <v>1000</v>
      </c>
      <c r="AA97" s="187"/>
      <c r="AB97" s="186">
        <f>ROUND(AB90+AB96,5)</f>
        <v>0</v>
      </c>
      <c r="AC97" s="187"/>
      <c r="AD97" s="186">
        <f>ROUND(AD90+AD96,5)</f>
        <v>0</v>
      </c>
      <c r="AE97" s="187"/>
      <c r="AF97" s="186">
        <f t="shared" si="4"/>
        <v>58010.27</v>
      </c>
    </row>
    <row r="98" spans="1:35" x14ac:dyDescent="0.3">
      <c r="A98" s="185"/>
      <c r="B98" s="185"/>
      <c r="C98" s="185"/>
      <c r="D98" s="185"/>
      <c r="E98" s="185" t="s">
        <v>247</v>
      </c>
      <c r="F98" s="185"/>
      <c r="G98" s="185"/>
      <c r="H98" s="186"/>
      <c r="I98" s="187"/>
      <c r="J98" s="186"/>
      <c r="K98" s="187"/>
      <c r="L98" s="186"/>
      <c r="M98" s="187"/>
      <c r="N98" s="186"/>
      <c r="O98" s="187"/>
      <c r="P98" s="186"/>
      <c r="Q98" s="187"/>
      <c r="R98" s="186"/>
      <c r="S98" s="187"/>
      <c r="T98" s="186"/>
      <c r="U98" s="187"/>
      <c r="V98" s="186"/>
      <c r="W98" s="187"/>
      <c r="X98" s="186"/>
      <c r="Y98" s="187"/>
      <c r="Z98" s="186"/>
      <c r="AA98" s="187"/>
      <c r="AB98" s="186"/>
      <c r="AC98" s="187"/>
      <c r="AD98" s="186"/>
      <c r="AE98" s="187"/>
      <c r="AF98" s="186"/>
    </row>
    <row r="99" spans="1:35" ht="13.5" thickBot="1" x14ac:dyDescent="0.35">
      <c r="A99" s="185"/>
      <c r="B99" s="185"/>
      <c r="C99" s="185"/>
      <c r="D99" s="185"/>
      <c r="E99" s="185"/>
      <c r="F99" s="185" t="s">
        <v>248</v>
      </c>
      <c r="G99" s="185"/>
      <c r="H99" s="188">
        <v>0</v>
      </c>
      <c r="I99" s="187"/>
      <c r="J99" s="188">
        <v>2725</v>
      </c>
      <c r="K99" s="187"/>
      <c r="L99" s="188">
        <v>0</v>
      </c>
      <c r="M99" s="187"/>
      <c r="N99" s="188">
        <v>0</v>
      </c>
      <c r="O99" s="187"/>
      <c r="P99" s="188">
        <v>0</v>
      </c>
      <c r="Q99" s="187"/>
      <c r="R99" s="188">
        <v>0</v>
      </c>
      <c r="S99" s="187"/>
      <c r="T99" s="188">
        <v>0</v>
      </c>
      <c r="U99" s="187"/>
      <c r="V99" s="188">
        <v>0</v>
      </c>
      <c r="W99" s="187"/>
      <c r="X99" s="188">
        <v>0</v>
      </c>
      <c r="Y99" s="187"/>
      <c r="Z99" s="188">
        <v>1000</v>
      </c>
      <c r="AA99" s="187"/>
      <c r="AB99" s="188">
        <v>0</v>
      </c>
      <c r="AC99" s="187"/>
      <c r="AD99" s="188">
        <v>0</v>
      </c>
      <c r="AE99" s="187"/>
      <c r="AF99" s="188">
        <f>ROUND(SUM(H99:AD99),5)</f>
        <v>3725</v>
      </c>
    </row>
    <row r="100" spans="1:35" x14ac:dyDescent="0.3">
      <c r="A100" s="185"/>
      <c r="B100" s="185"/>
      <c r="C100" s="185"/>
      <c r="D100" s="185"/>
      <c r="E100" s="185" t="s">
        <v>249</v>
      </c>
      <c r="F100" s="185"/>
      <c r="G100" s="185"/>
      <c r="H100" s="186">
        <f>ROUND(SUM(H98:H99),5)</f>
        <v>0</v>
      </c>
      <c r="I100" s="187"/>
      <c r="J100" s="186">
        <f>ROUND(SUM(J98:J99),5)</f>
        <v>2725</v>
      </c>
      <c r="K100" s="187"/>
      <c r="L100" s="186">
        <f>ROUND(SUM(L98:L99),5)</f>
        <v>0</v>
      </c>
      <c r="M100" s="187"/>
      <c r="N100" s="186">
        <f>ROUND(SUM(N98:N99),5)</f>
        <v>0</v>
      </c>
      <c r="O100" s="187"/>
      <c r="P100" s="186">
        <f>ROUND(SUM(P98:P99),5)</f>
        <v>0</v>
      </c>
      <c r="Q100" s="187"/>
      <c r="R100" s="186">
        <f>ROUND(SUM(R98:R99),5)</f>
        <v>0</v>
      </c>
      <c r="S100" s="187"/>
      <c r="T100" s="186">
        <f>ROUND(SUM(T98:T99),5)</f>
        <v>0</v>
      </c>
      <c r="U100" s="187"/>
      <c r="V100" s="186">
        <f>ROUND(SUM(V98:V99),5)</f>
        <v>0</v>
      </c>
      <c r="W100" s="187"/>
      <c r="X100" s="186">
        <f>ROUND(SUM(X98:X99),5)</f>
        <v>0</v>
      </c>
      <c r="Y100" s="187"/>
      <c r="Z100" s="186">
        <f>ROUND(SUM(Z98:Z99),5)</f>
        <v>1000</v>
      </c>
      <c r="AA100" s="187"/>
      <c r="AB100" s="186">
        <f>ROUND(SUM(AB98:AB99),5)</f>
        <v>0</v>
      </c>
      <c r="AC100" s="187"/>
      <c r="AD100" s="186">
        <f>ROUND(SUM(AD98:AD99),5)</f>
        <v>0</v>
      </c>
      <c r="AE100" s="187"/>
      <c r="AF100" s="186">
        <f>ROUND(SUM(H100:AD100),5)</f>
        <v>3725</v>
      </c>
    </row>
    <row r="101" spans="1:35" x14ac:dyDescent="0.3">
      <c r="A101" s="185"/>
      <c r="B101" s="185"/>
      <c r="C101" s="185"/>
      <c r="D101" s="185"/>
      <c r="E101" s="185" t="s">
        <v>250</v>
      </c>
      <c r="F101" s="185"/>
      <c r="G101" s="185"/>
      <c r="H101" s="186"/>
      <c r="I101" s="187"/>
      <c r="J101" s="186"/>
      <c r="K101" s="187"/>
      <c r="L101" s="186"/>
      <c r="M101" s="187"/>
      <c r="N101" s="186"/>
      <c r="O101" s="187"/>
      <c r="P101" s="186"/>
      <c r="Q101" s="187"/>
      <c r="R101" s="186"/>
      <c r="S101" s="187"/>
      <c r="T101" s="186"/>
      <c r="U101" s="187"/>
      <c r="V101" s="186"/>
      <c r="W101" s="187"/>
      <c r="X101" s="186"/>
      <c r="Y101" s="187"/>
      <c r="Z101" s="186"/>
      <c r="AA101" s="187"/>
      <c r="AB101" s="186"/>
      <c r="AC101" s="187"/>
      <c r="AD101" s="186"/>
      <c r="AE101" s="187"/>
      <c r="AF101" s="186"/>
    </row>
    <row r="102" spans="1:35" ht="13.5" thickBot="1" x14ac:dyDescent="0.35">
      <c r="A102" s="185"/>
      <c r="B102" s="185"/>
      <c r="C102" s="185"/>
      <c r="D102" s="185"/>
      <c r="E102" s="185"/>
      <c r="F102" s="185" t="s">
        <v>251</v>
      </c>
      <c r="G102" s="185"/>
      <c r="H102" s="188">
        <v>0</v>
      </c>
      <c r="I102" s="187"/>
      <c r="J102" s="188">
        <v>225.13</v>
      </c>
      <c r="K102" s="187"/>
      <c r="L102" s="188">
        <v>0</v>
      </c>
      <c r="M102" s="187"/>
      <c r="N102" s="188">
        <v>0</v>
      </c>
      <c r="O102" s="187"/>
      <c r="P102" s="188">
        <v>0</v>
      </c>
      <c r="Q102" s="187"/>
      <c r="R102" s="188">
        <v>0</v>
      </c>
      <c r="S102" s="187"/>
      <c r="T102" s="188">
        <v>0</v>
      </c>
      <c r="U102" s="187"/>
      <c r="V102" s="188">
        <v>197.33</v>
      </c>
      <c r="W102" s="187"/>
      <c r="X102" s="188">
        <v>0</v>
      </c>
      <c r="Y102" s="187"/>
      <c r="Z102" s="188">
        <v>0</v>
      </c>
      <c r="AA102" s="187"/>
      <c r="AB102" s="188">
        <v>0</v>
      </c>
      <c r="AC102" s="187"/>
      <c r="AD102" s="188">
        <v>0</v>
      </c>
      <c r="AE102" s="187"/>
      <c r="AF102" s="188">
        <f>ROUND(SUM(H102:AD102),5)</f>
        <v>422.46</v>
      </c>
    </row>
    <row r="103" spans="1:35" x14ac:dyDescent="0.3">
      <c r="A103" s="185"/>
      <c r="B103" s="185"/>
      <c r="C103" s="185"/>
      <c r="D103" s="185"/>
      <c r="E103" s="185" t="s">
        <v>252</v>
      </c>
      <c r="F103" s="185"/>
      <c r="G103" s="185"/>
      <c r="H103" s="186">
        <f>ROUND(SUM(H101:H102),5)</f>
        <v>0</v>
      </c>
      <c r="I103" s="187"/>
      <c r="J103" s="186">
        <f>ROUND(SUM(J101:J102),5)</f>
        <v>225.13</v>
      </c>
      <c r="K103" s="187"/>
      <c r="L103" s="186">
        <f>ROUND(SUM(L101:L102),5)</f>
        <v>0</v>
      </c>
      <c r="M103" s="187"/>
      <c r="N103" s="186">
        <f>ROUND(SUM(N101:N102),5)</f>
        <v>0</v>
      </c>
      <c r="O103" s="187"/>
      <c r="P103" s="186">
        <f>ROUND(SUM(P101:P102),5)</f>
        <v>0</v>
      </c>
      <c r="Q103" s="187"/>
      <c r="R103" s="186">
        <f>ROUND(SUM(R101:R102),5)</f>
        <v>0</v>
      </c>
      <c r="S103" s="187"/>
      <c r="T103" s="186">
        <f>ROUND(SUM(T101:T102),5)</f>
        <v>0</v>
      </c>
      <c r="U103" s="187"/>
      <c r="V103" s="186">
        <f>ROUND(SUM(V101:V102),5)</f>
        <v>197.33</v>
      </c>
      <c r="W103" s="187"/>
      <c r="X103" s="186">
        <f>ROUND(SUM(X101:X102),5)</f>
        <v>0</v>
      </c>
      <c r="Y103" s="187"/>
      <c r="Z103" s="186">
        <f>ROUND(SUM(Z101:Z102),5)</f>
        <v>0</v>
      </c>
      <c r="AA103" s="187"/>
      <c r="AB103" s="186">
        <f>ROUND(SUM(AB101:AB102),5)</f>
        <v>0</v>
      </c>
      <c r="AC103" s="187"/>
      <c r="AD103" s="186">
        <f>ROUND(SUM(AD101:AD102),5)</f>
        <v>0</v>
      </c>
      <c r="AE103" s="187"/>
      <c r="AF103" s="186">
        <f>ROUND(SUM(H103:AD103),5)</f>
        <v>422.46</v>
      </c>
      <c r="AI103" s="189">
        <f>+AF63+AF69+AF72+AF77+AF82+AF86+AF89+AF113</f>
        <v>669810.57394999999</v>
      </c>
    </row>
    <row r="104" spans="1:35" x14ac:dyDescent="0.3">
      <c r="A104" s="185"/>
      <c r="B104" s="185"/>
      <c r="C104" s="185"/>
      <c r="D104" s="185"/>
      <c r="E104" s="185" t="s">
        <v>253</v>
      </c>
      <c r="F104" s="185"/>
      <c r="G104" s="185"/>
      <c r="H104" s="186"/>
      <c r="I104" s="187"/>
      <c r="J104" s="186"/>
      <c r="K104" s="187"/>
      <c r="L104" s="186"/>
      <c r="M104" s="187"/>
      <c r="N104" s="186"/>
      <c r="O104" s="187"/>
      <c r="P104" s="186"/>
      <c r="Q104" s="187"/>
      <c r="R104" s="186"/>
      <c r="S104" s="187"/>
      <c r="T104" s="186"/>
      <c r="U104" s="187"/>
      <c r="V104" s="186"/>
      <c r="W104" s="187"/>
      <c r="X104" s="186"/>
      <c r="Y104" s="187"/>
      <c r="Z104" s="186"/>
      <c r="AA104" s="187"/>
      <c r="AB104" s="186"/>
      <c r="AC104" s="187"/>
      <c r="AD104" s="186"/>
      <c r="AE104" s="187"/>
      <c r="AF104" s="186"/>
    </row>
    <row r="105" spans="1:35" ht="13.5" thickBot="1" x14ac:dyDescent="0.35">
      <c r="A105" s="185"/>
      <c r="B105" s="185"/>
      <c r="C105" s="185"/>
      <c r="D105" s="185"/>
      <c r="E105" s="185"/>
      <c r="F105" s="185" t="s">
        <v>254</v>
      </c>
      <c r="G105" s="185"/>
      <c r="H105" s="188">
        <v>0</v>
      </c>
      <c r="I105" s="187"/>
      <c r="J105" s="188">
        <v>47.64</v>
      </c>
      <c r="K105" s="187"/>
      <c r="L105" s="188">
        <v>0</v>
      </c>
      <c r="M105" s="187"/>
      <c r="N105" s="188">
        <v>0</v>
      </c>
      <c r="O105" s="187"/>
      <c r="P105" s="188">
        <v>0</v>
      </c>
      <c r="Q105" s="187"/>
      <c r="R105" s="188">
        <v>0</v>
      </c>
      <c r="S105" s="187"/>
      <c r="T105" s="188">
        <v>0</v>
      </c>
      <c r="U105" s="187"/>
      <c r="V105" s="188">
        <v>0</v>
      </c>
      <c r="W105" s="187"/>
      <c r="X105" s="188">
        <v>81.040000000000006</v>
      </c>
      <c r="Y105" s="187"/>
      <c r="Z105" s="188">
        <v>0</v>
      </c>
      <c r="AA105" s="187"/>
      <c r="AB105" s="188">
        <v>0</v>
      </c>
      <c r="AC105" s="187"/>
      <c r="AD105" s="188">
        <v>0</v>
      </c>
      <c r="AE105" s="187"/>
      <c r="AF105" s="188">
        <f>ROUND(SUM(H105:AD105),5)</f>
        <v>128.68</v>
      </c>
    </row>
    <row r="106" spans="1:35" x14ac:dyDescent="0.3">
      <c r="A106" s="185"/>
      <c r="B106" s="185"/>
      <c r="C106" s="185"/>
      <c r="D106" s="185"/>
      <c r="E106" s="185" t="s">
        <v>255</v>
      </c>
      <c r="F106" s="185"/>
      <c r="G106" s="185"/>
      <c r="H106" s="186">
        <f>ROUND(SUM(H104:H105),5)</f>
        <v>0</v>
      </c>
      <c r="I106" s="187"/>
      <c r="J106" s="186">
        <f>ROUND(SUM(J104:J105),5)</f>
        <v>47.64</v>
      </c>
      <c r="K106" s="187"/>
      <c r="L106" s="186">
        <f>ROUND(SUM(L104:L105),5)</f>
        <v>0</v>
      </c>
      <c r="M106" s="187"/>
      <c r="N106" s="186">
        <f>ROUND(SUM(N104:N105),5)</f>
        <v>0</v>
      </c>
      <c r="O106" s="187"/>
      <c r="P106" s="186">
        <f>ROUND(SUM(P104:P105),5)</f>
        <v>0</v>
      </c>
      <c r="Q106" s="187"/>
      <c r="R106" s="186">
        <f>ROUND(SUM(R104:R105),5)</f>
        <v>0</v>
      </c>
      <c r="S106" s="187"/>
      <c r="T106" s="186">
        <f>ROUND(SUM(T104:T105),5)</f>
        <v>0</v>
      </c>
      <c r="U106" s="187"/>
      <c r="V106" s="186">
        <f>ROUND(SUM(V104:V105),5)</f>
        <v>0</v>
      </c>
      <c r="W106" s="187"/>
      <c r="X106" s="186">
        <f>ROUND(SUM(X104:X105),5)</f>
        <v>81.040000000000006</v>
      </c>
      <c r="Y106" s="187"/>
      <c r="Z106" s="186">
        <f>ROUND(SUM(Z104:Z105),5)</f>
        <v>0</v>
      </c>
      <c r="AA106" s="187"/>
      <c r="AB106" s="186">
        <f>ROUND(SUM(AB104:AB105),5)</f>
        <v>0</v>
      </c>
      <c r="AC106" s="187"/>
      <c r="AD106" s="186">
        <f>ROUND(SUM(AD104:AD105),5)</f>
        <v>0</v>
      </c>
      <c r="AE106" s="187"/>
      <c r="AF106" s="186">
        <f>ROUND(SUM(H106:AD106),5)</f>
        <v>128.68</v>
      </c>
    </row>
    <row r="107" spans="1:35" x14ac:dyDescent="0.3">
      <c r="A107" s="185"/>
      <c r="B107" s="185"/>
      <c r="C107" s="185"/>
      <c r="D107" s="185"/>
      <c r="E107" s="185" t="s">
        <v>256</v>
      </c>
      <c r="F107" s="185"/>
      <c r="G107" s="185"/>
      <c r="H107" s="186">
        <v>0</v>
      </c>
      <c r="I107" s="187"/>
      <c r="J107" s="186">
        <v>0</v>
      </c>
      <c r="K107" s="187"/>
      <c r="L107" s="186">
        <v>0</v>
      </c>
      <c r="M107" s="187"/>
      <c r="N107" s="186">
        <v>0</v>
      </c>
      <c r="O107" s="187"/>
      <c r="P107" s="186">
        <v>0</v>
      </c>
      <c r="Q107" s="187"/>
      <c r="R107" s="186">
        <v>0</v>
      </c>
      <c r="S107" s="187"/>
      <c r="T107" s="186">
        <v>0</v>
      </c>
      <c r="U107" s="187"/>
      <c r="V107" s="186">
        <v>0</v>
      </c>
      <c r="W107" s="187"/>
      <c r="X107" s="186">
        <v>0</v>
      </c>
      <c r="Y107" s="187"/>
      <c r="Z107" s="186">
        <v>0</v>
      </c>
      <c r="AA107" s="187"/>
      <c r="AB107" s="186">
        <v>0</v>
      </c>
      <c r="AC107" s="187"/>
      <c r="AD107" s="186">
        <v>0</v>
      </c>
      <c r="AE107" s="187"/>
      <c r="AF107" s="186">
        <f>ROUND(SUM(H107:AD107),5)</f>
        <v>0</v>
      </c>
    </row>
    <row r="108" spans="1:35" x14ac:dyDescent="0.3">
      <c r="A108" s="185"/>
      <c r="B108" s="185"/>
      <c r="C108" s="185"/>
      <c r="D108" s="185"/>
      <c r="E108" s="185" t="s">
        <v>257</v>
      </c>
      <c r="F108" s="185"/>
      <c r="G108" s="185"/>
      <c r="H108" s="186"/>
      <c r="I108" s="187"/>
      <c r="J108" s="186"/>
      <c r="K108" s="187"/>
      <c r="L108" s="186"/>
      <c r="M108" s="187"/>
      <c r="N108" s="186"/>
      <c r="O108" s="187"/>
      <c r="P108" s="186"/>
      <c r="Q108" s="187"/>
      <c r="R108" s="186"/>
      <c r="S108" s="187"/>
      <c r="T108" s="186"/>
      <c r="U108" s="187"/>
      <c r="V108" s="186"/>
      <c r="W108" s="187"/>
      <c r="X108" s="186"/>
      <c r="Y108" s="187"/>
      <c r="Z108" s="186"/>
      <c r="AA108" s="187"/>
      <c r="AB108" s="186"/>
      <c r="AC108" s="187"/>
      <c r="AD108" s="186"/>
      <c r="AE108" s="187"/>
      <c r="AF108" s="186"/>
    </row>
    <row r="109" spans="1:35" x14ac:dyDescent="0.3">
      <c r="A109" s="185"/>
      <c r="B109" s="185"/>
      <c r="C109" s="185"/>
      <c r="D109" s="185"/>
      <c r="E109" s="185"/>
      <c r="F109" s="185" t="s">
        <v>258</v>
      </c>
      <c r="G109" s="185"/>
      <c r="H109" s="186">
        <v>0</v>
      </c>
      <c r="I109" s="187"/>
      <c r="J109" s="186">
        <v>0</v>
      </c>
      <c r="K109" s="187"/>
      <c r="L109" s="186">
        <v>150</v>
      </c>
      <c r="M109" s="187"/>
      <c r="N109" s="186">
        <v>0</v>
      </c>
      <c r="O109" s="187"/>
      <c r="P109" s="186">
        <v>0</v>
      </c>
      <c r="Q109" s="187"/>
      <c r="R109" s="186">
        <v>0</v>
      </c>
      <c r="S109" s="187"/>
      <c r="T109" s="186">
        <v>0</v>
      </c>
      <c r="U109" s="187"/>
      <c r="V109" s="186">
        <v>0</v>
      </c>
      <c r="W109" s="187"/>
      <c r="X109" s="186">
        <v>0</v>
      </c>
      <c r="Y109" s="187"/>
      <c r="Z109" s="186">
        <v>0</v>
      </c>
      <c r="AA109" s="187"/>
      <c r="AB109" s="186">
        <v>0</v>
      </c>
      <c r="AC109" s="187"/>
      <c r="AD109" s="186">
        <v>0</v>
      </c>
      <c r="AE109" s="187"/>
      <c r="AF109" s="186">
        <f t="shared" ref="AF109:AF118" si="5">ROUND(SUM(H109:AD109),5)</f>
        <v>150</v>
      </c>
    </row>
    <row r="110" spans="1:35" x14ac:dyDescent="0.3">
      <c r="A110" s="185"/>
      <c r="B110" s="185"/>
      <c r="C110" s="185"/>
      <c r="D110" s="185"/>
      <c r="E110" s="185"/>
      <c r="F110" s="185" t="s">
        <v>259</v>
      </c>
      <c r="G110" s="185"/>
      <c r="H110" s="186">
        <v>287</v>
      </c>
      <c r="I110" s="187"/>
      <c r="J110" s="186">
        <v>41</v>
      </c>
      <c r="K110" s="187"/>
      <c r="L110" s="186">
        <v>102.5</v>
      </c>
      <c r="M110" s="187"/>
      <c r="N110" s="186">
        <v>123</v>
      </c>
      <c r="O110" s="187"/>
      <c r="P110" s="186">
        <v>200</v>
      </c>
      <c r="Q110" s="187"/>
      <c r="R110" s="186">
        <v>625</v>
      </c>
      <c r="S110" s="187"/>
      <c r="T110" s="186">
        <v>2173</v>
      </c>
      <c r="U110" s="187"/>
      <c r="V110" s="186">
        <v>1703</v>
      </c>
      <c r="W110" s="187"/>
      <c r="X110" s="186">
        <v>1988.5</v>
      </c>
      <c r="Y110" s="187"/>
      <c r="Z110" s="186">
        <v>1988.5</v>
      </c>
      <c r="AA110" s="187"/>
      <c r="AB110" s="186">
        <v>0</v>
      </c>
      <c r="AC110" s="187"/>
      <c r="AD110" s="186">
        <v>0</v>
      </c>
      <c r="AE110" s="187"/>
      <c r="AF110" s="186">
        <f t="shared" si="5"/>
        <v>9231.5</v>
      </c>
    </row>
    <row r="111" spans="1:35" x14ac:dyDescent="0.3">
      <c r="A111" s="185"/>
      <c r="B111" s="185"/>
      <c r="C111" s="185"/>
      <c r="D111" s="185"/>
      <c r="E111" s="185"/>
      <c r="F111" s="185" t="s">
        <v>260</v>
      </c>
      <c r="G111" s="185"/>
      <c r="H111" s="186">
        <v>65</v>
      </c>
      <c r="I111" s="187"/>
      <c r="J111" s="186">
        <v>70</v>
      </c>
      <c r="K111" s="187"/>
      <c r="L111" s="186">
        <v>70</v>
      </c>
      <c r="M111" s="187"/>
      <c r="N111" s="186">
        <v>70</v>
      </c>
      <c r="O111" s="187"/>
      <c r="P111" s="186">
        <v>40</v>
      </c>
      <c r="Q111" s="187"/>
      <c r="R111" s="186">
        <v>103.1</v>
      </c>
      <c r="S111" s="187"/>
      <c r="T111" s="186">
        <v>70</v>
      </c>
      <c r="U111" s="187"/>
      <c r="V111" s="186">
        <v>70</v>
      </c>
      <c r="W111" s="187"/>
      <c r="X111" s="186">
        <v>70</v>
      </c>
      <c r="Y111" s="187"/>
      <c r="Z111" s="186">
        <v>70</v>
      </c>
      <c r="AA111" s="187"/>
      <c r="AB111" s="186">
        <v>70</v>
      </c>
      <c r="AC111" s="187"/>
      <c r="AD111" s="186">
        <v>70</v>
      </c>
      <c r="AE111" s="187"/>
      <c r="AF111" s="186">
        <f t="shared" si="5"/>
        <v>838.1</v>
      </c>
    </row>
    <row r="112" spans="1:35" x14ac:dyDescent="0.3">
      <c r="A112" s="185"/>
      <c r="B112" s="185"/>
      <c r="C112" s="185"/>
      <c r="D112" s="185"/>
      <c r="E112" s="185"/>
      <c r="F112" s="185" t="s">
        <v>261</v>
      </c>
      <c r="G112" s="185"/>
      <c r="H112" s="186">
        <v>2319.2199999999998</v>
      </c>
      <c r="I112" s="187"/>
      <c r="J112" s="186">
        <v>343.07</v>
      </c>
      <c r="K112" s="187"/>
      <c r="L112" s="186">
        <v>66.459999999999994</v>
      </c>
      <c r="M112" s="187"/>
      <c r="N112" s="186">
        <v>131.6</v>
      </c>
      <c r="O112" s="187"/>
      <c r="P112" s="186">
        <v>152.06</v>
      </c>
      <c r="Q112" s="187"/>
      <c r="R112" s="186">
        <v>233.97</v>
      </c>
      <c r="S112" s="187"/>
      <c r="T112" s="186">
        <v>378.51</v>
      </c>
      <c r="U112" s="187"/>
      <c r="V112" s="186">
        <v>160.96</v>
      </c>
      <c r="W112" s="187"/>
      <c r="X112" s="186">
        <v>176.07</v>
      </c>
      <c r="Y112" s="187"/>
      <c r="Z112" s="186">
        <v>99.09</v>
      </c>
      <c r="AA112" s="187"/>
      <c r="AB112" s="186">
        <v>0</v>
      </c>
      <c r="AC112" s="187"/>
      <c r="AD112" s="186">
        <v>0</v>
      </c>
      <c r="AE112" s="187"/>
      <c r="AF112" s="186">
        <f t="shared" si="5"/>
        <v>4061.01</v>
      </c>
    </row>
    <row r="113" spans="1:32" x14ac:dyDescent="0.3">
      <c r="A113" s="185"/>
      <c r="B113" s="185"/>
      <c r="C113" s="185"/>
      <c r="D113" s="185"/>
      <c r="E113" s="185"/>
      <c r="F113" s="185" t="s">
        <v>262</v>
      </c>
      <c r="G113" s="185"/>
      <c r="H113" s="186">
        <v>0</v>
      </c>
      <c r="I113" s="187"/>
      <c r="J113" s="186">
        <v>2815</v>
      </c>
      <c r="K113" s="187"/>
      <c r="L113" s="186">
        <v>0</v>
      </c>
      <c r="M113" s="187"/>
      <c r="N113" s="186">
        <v>2815</v>
      </c>
      <c r="O113" s="187"/>
      <c r="P113" s="186">
        <v>0</v>
      </c>
      <c r="Q113" s="187"/>
      <c r="R113" s="186">
        <v>0</v>
      </c>
      <c r="S113" s="187"/>
      <c r="T113" s="186">
        <v>2815</v>
      </c>
      <c r="U113" s="187"/>
      <c r="V113" s="186">
        <v>0</v>
      </c>
      <c r="W113" s="187"/>
      <c r="X113" s="186">
        <v>0</v>
      </c>
      <c r="Y113" s="187"/>
      <c r="Z113" s="186">
        <v>2815</v>
      </c>
      <c r="AA113" s="187"/>
      <c r="AB113" s="186">
        <v>0</v>
      </c>
      <c r="AC113" s="187"/>
      <c r="AD113" s="186">
        <v>0</v>
      </c>
      <c r="AE113" s="187"/>
      <c r="AF113" s="186">
        <f t="shared" si="5"/>
        <v>11260</v>
      </c>
    </row>
    <row r="114" spans="1:32" ht="13.5" thickBot="1" x14ac:dyDescent="0.35">
      <c r="A114" s="185"/>
      <c r="B114" s="185"/>
      <c r="C114" s="185"/>
      <c r="D114" s="185"/>
      <c r="E114" s="185"/>
      <c r="F114" s="185" t="s">
        <v>348</v>
      </c>
      <c r="G114" s="185"/>
      <c r="H114" s="186">
        <v>0</v>
      </c>
      <c r="I114" s="187"/>
      <c r="J114" s="186">
        <v>0</v>
      </c>
      <c r="K114" s="187"/>
      <c r="L114" s="186">
        <v>0</v>
      </c>
      <c r="M114" s="187"/>
      <c r="N114" s="186">
        <v>594</v>
      </c>
      <c r="O114" s="187"/>
      <c r="P114" s="186">
        <v>0</v>
      </c>
      <c r="Q114" s="187"/>
      <c r="R114" s="186">
        <v>0</v>
      </c>
      <c r="S114" s="187"/>
      <c r="T114" s="186">
        <v>0</v>
      </c>
      <c r="U114" s="187"/>
      <c r="V114" s="186">
        <v>0</v>
      </c>
      <c r="W114" s="187"/>
      <c r="X114" s="186">
        <v>8408.7999999999993</v>
      </c>
      <c r="Y114" s="187"/>
      <c r="Z114" s="186">
        <v>0</v>
      </c>
      <c r="AA114" s="187"/>
      <c r="AB114" s="186">
        <v>0</v>
      </c>
      <c r="AC114" s="187"/>
      <c r="AD114" s="186">
        <v>0</v>
      </c>
      <c r="AE114" s="187"/>
      <c r="AF114" s="186">
        <f t="shared" si="5"/>
        <v>9002.7999999999993</v>
      </c>
    </row>
    <row r="115" spans="1:32" ht="13.5" thickBot="1" x14ac:dyDescent="0.35">
      <c r="A115" s="185"/>
      <c r="B115" s="185"/>
      <c r="C115" s="185"/>
      <c r="D115" s="185"/>
      <c r="E115" s="185" t="s">
        <v>263</v>
      </c>
      <c r="F115" s="185"/>
      <c r="G115" s="185"/>
      <c r="H115" s="197">
        <f>ROUND(SUM(H108:H114),5)</f>
        <v>2671.22</v>
      </c>
      <c r="I115" s="187"/>
      <c r="J115" s="197">
        <f>ROUND(SUM(J108:J114),5)</f>
        <v>3269.07</v>
      </c>
      <c r="K115" s="187"/>
      <c r="L115" s="197">
        <f>ROUND(SUM(L108:L114),5)</f>
        <v>388.96</v>
      </c>
      <c r="M115" s="187"/>
      <c r="N115" s="197">
        <f>ROUND(SUM(N108:N114),5)</f>
        <v>3733.6</v>
      </c>
      <c r="O115" s="187"/>
      <c r="P115" s="197">
        <f>ROUND(SUM(P108:P114),5)</f>
        <v>392.06</v>
      </c>
      <c r="Q115" s="187"/>
      <c r="R115" s="197">
        <f>ROUND(SUM(R108:R114),5)</f>
        <v>962.07</v>
      </c>
      <c r="S115" s="187"/>
      <c r="T115" s="197">
        <f>ROUND(SUM(T108:T114),5)</f>
        <v>5436.51</v>
      </c>
      <c r="U115" s="187"/>
      <c r="V115" s="197">
        <f>ROUND(SUM(V108:V114),5)</f>
        <v>1933.96</v>
      </c>
      <c r="W115" s="187"/>
      <c r="X115" s="197">
        <f>ROUND(SUM(X108:X114),5)</f>
        <v>10643.37</v>
      </c>
      <c r="Y115" s="187"/>
      <c r="Z115" s="197">
        <f>ROUND(SUM(Z108:Z114),5)</f>
        <v>4972.59</v>
      </c>
      <c r="AA115" s="187"/>
      <c r="AB115" s="197">
        <f>ROUND(SUM(AB108:AB114),5)</f>
        <v>70</v>
      </c>
      <c r="AC115" s="187"/>
      <c r="AD115" s="197">
        <f>ROUND(SUM(AD108:AD114),5)</f>
        <v>70</v>
      </c>
      <c r="AE115" s="187"/>
      <c r="AF115" s="197">
        <f t="shared" si="5"/>
        <v>34543.410000000003</v>
      </c>
    </row>
    <row r="116" spans="1:32" ht="13.5" thickBot="1" x14ac:dyDescent="0.35">
      <c r="A116" s="185"/>
      <c r="B116" s="185"/>
      <c r="C116" s="185"/>
      <c r="D116" s="185" t="s">
        <v>264</v>
      </c>
      <c r="E116" s="185"/>
      <c r="F116" s="185"/>
      <c r="G116" s="185"/>
      <c r="H116" s="197">
        <f>ROUND(H29+H37+H46+H63+H69+H72+H77+H82+H86+H89+H97+H100+H103+SUM(H106:H107)+H115,5)</f>
        <v>137620.93</v>
      </c>
      <c r="I116" s="187"/>
      <c r="J116" s="197">
        <f>ROUND(J29+J37+J46+J63+J69+J72+J77+J82+J86+J89+J97+J100+J103+SUM(J106:J107)+J115,5)</f>
        <v>135504.5</v>
      </c>
      <c r="K116" s="187"/>
      <c r="L116" s="197">
        <f>ROUND(L29+L37+L46+L63+L69+L72+L77+L82+L86+L89+L97+L100+L103+SUM(L106:L107)+L115,5)</f>
        <v>144823.59</v>
      </c>
      <c r="M116" s="187"/>
      <c r="N116" s="197">
        <f>ROUND(N29+N37+N46+N63+N69+N72+N77+N82+N86+N89+N97+N100+N103+SUM(N106:N107)+N115,5)</f>
        <v>138237.75</v>
      </c>
      <c r="O116" s="187"/>
      <c r="P116" s="197">
        <f>ROUND(P29+P37+P46+P63+P69+P72+P77+P82+P86+P89+P97+P100+P103+SUM(P106:P107)+P115,5)</f>
        <v>126155.97</v>
      </c>
      <c r="Q116" s="187"/>
      <c r="R116" s="197">
        <f>ROUND(R29+R37+R46+R63+R69+R72+R77+R82+R86+R89+R97+R100+R103+SUM(R106:R107)+R115,5)</f>
        <v>121044.09</v>
      </c>
      <c r="S116" s="187"/>
      <c r="T116" s="197">
        <f>ROUND(T29+T37+T46+T63+T69+T72+T77+T82+T86+T89+T97+T100+T103+SUM(T106:T107)+T115,5)</f>
        <v>128330.02</v>
      </c>
      <c r="U116" s="187"/>
      <c r="V116" s="197">
        <f>ROUND(V29+V37+V46+V63+V69+V72+V77+V82+V86+V89+V97+V100+V103+SUM(V106:V107)+V115,5)</f>
        <v>148558.01999999999</v>
      </c>
      <c r="W116" s="187"/>
      <c r="X116" s="197">
        <f>ROUND(X29+X37+X46+X63+X69+X72+X77+X82+X86+X89+X97+X100+X103+SUM(X106:X107)+X115,5)</f>
        <v>147858.95000000001</v>
      </c>
      <c r="Y116" s="187"/>
      <c r="Z116" s="197">
        <f>ROUND(Z29+Z37+Z46+Z63+Z69+Z72+Z77+Z82+Z86+Z89+Z97+Z100+Z103+SUM(Z106:Z107)+Z115,5)</f>
        <v>136460.58465</v>
      </c>
      <c r="AA116" s="187"/>
      <c r="AB116" s="197">
        <f>ROUND(AB29+AB37+AB46+AB63+AB69+AB72+AB77+AB82+AB86+AB89+AB97+AB100+AB103+SUM(AB106:AB107)+AB115,5)</f>
        <v>124282.99464999999</v>
      </c>
      <c r="AC116" s="187"/>
      <c r="AD116" s="197">
        <f>ROUND(AD29+AD37+AD46+AD63+AD69+AD72+AD77+AD82+AD86+AD89+AD97+AD100+AD103+SUM(AD106:AD107)+AD115,5)</f>
        <v>103125.96464999999</v>
      </c>
      <c r="AE116" s="187"/>
      <c r="AF116" s="197">
        <f t="shared" si="5"/>
        <v>1592003.3639499999</v>
      </c>
    </row>
    <row r="117" spans="1:32" ht="13.5" thickBot="1" x14ac:dyDescent="0.35">
      <c r="A117" s="185"/>
      <c r="B117" s="185" t="s">
        <v>265</v>
      </c>
      <c r="C117" s="185"/>
      <c r="D117" s="185"/>
      <c r="E117" s="185"/>
      <c r="F117" s="185"/>
      <c r="G117" s="185"/>
      <c r="H117" s="197">
        <f>ROUND(H2+H28-H116,5)</f>
        <v>-26228.19</v>
      </c>
      <c r="I117" s="187"/>
      <c r="J117" s="197">
        <f>ROUND(J2+J28-J116,5)</f>
        <v>-16314.89</v>
      </c>
      <c r="K117" s="187"/>
      <c r="L117" s="197">
        <f>ROUND(L2+L28-L116,5)</f>
        <v>-52746.64</v>
      </c>
      <c r="M117" s="187"/>
      <c r="N117" s="197">
        <f>ROUND(N2+N28-N116,5)</f>
        <v>61865.08</v>
      </c>
      <c r="O117" s="187"/>
      <c r="P117" s="197">
        <f>ROUND(P2+P28-P116,5)</f>
        <v>33497.279999999999</v>
      </c>
      <c r="Q117" s="187"/>
      <c r="R117" s="197">
        <f>ROUND(R2+R28-R116,5)</f>
        <v>15978.94</v>
      </c>
      <c r="S117" s="187"/>
      <c r="T117" s="197">
        <f>ROUND(T2+T28-T116,5)</f>
        <v>1412.27</v>
      </c>
      <c r="U117" s="187"/>
      <c r="V117" s="197">
        <f>ROUND(V2+V28-V116,5)</f>
        <v>-11725.05</v>
      </c>
      <c r="W117" s="187"/>
      <c r="X117" s="197">
        <f>ROUND(X2+X28-X116,5)</f>
        <v>-20861.66</v>
      </c>
      <c r="Y117" s="187"/>
      <c r="Z117" s="197">
        <f>ROUND(Z2+Z28-Z116,5)</f>
        <v>2652.57035</v>
      </c>
      <c r="AA117" s="187"/>
      <c r="AB117" s="197">
        <f>ROUND(AB2+AB28-AB116,5)</f>
        <v>16630.160349999998</v>
      </c>
      <c r="AC117" s="187"/>
      <c r="AD117" s="197">
        <f>ROUND(AD2+AD28-AD116,5)</f>
        <v>35987.190349999997</v>
      </c>
      <c r="AE117" s="187"/>
      <c r="AF117" s="197">
        <f t="shared" si="5"/>
        <v>40147.061049999997</v>
      </c>
    </row>
    <row r="118" spans="1:32" s="258" customFormat="1" ht="13.5" thickBot="1" x14ac:dyDescent="0.35">
      <c r="A118" s="185" t="s">
        <v>266</v>
      </c>
      <c r="B118" s="185"/>
      <c r="C118" s="185"/>
      <c r="D118" s="185"/>
      <c r="E118" s="185"/>
      <c r="F118" s="185"/>
      <c r="G118" s="185"/>
      <c r="H118" s="199">
        <f>H117</f>
        <v>-26228.19</v>
      </c>
      <c r="I118" s="185"/>
      <c r="J118" s="199">
        <f>J117</f>
        <v>-16314.89</v>
      </c>
      <c r="K118" s="185"/>
      <c r="L118" s="199">
        <f>L117</f>
        <v>-52746.64</v>
      </c>
      <c r="M118" s="185"/>
      <c r="N118" s="199">
        <f>N117</f>
        <v>61865.08</v>
      </c>
      <c r="O118" s="185"/>
      <c r="P118" s="199">
        <f>P117</f>
        <v>33497.279999999999</v>
      </c>
      <c r="Q118" s="185"/>
      <c r="R118" s="199">
        <f>R117</f>
        <v>15978.94</v>
      </c>
      <c r="S118" s="185"/>
      <c r="T118" s="199">
        <f>T117</f>
        <v>1412.27</v>
      </c>
      <c r="U118" s="185"/>
      <c r="V118" s="199">
        <f>V117</f>
        <v>-11725.05</v>
      </c>
      <c r="W118" s="185"/>
      <c r="X118" s="199">
        <f>X117</f>
        <v>-20861.66</v>
      </c>
      <c r="Y118" s="185"/>
      <c r="Z118" s="199">
        <f>Z117</f>
        <v>2652.57035</v>
      </c>
      <c r="AA118" s="185"/>
      <c r="AB118" s="199">
        <f>AB117</f>
        <v>16630.160349999998</v>
      </c>
      <c r="AC118" s="185"/>
      <c r="AD118" s="199">
        <f>AD117</f>
        <v>35987.190349999997</v>
      </c>
      <c r="AE118" s="185"/>
      <c r="AF118" s="199">
        <f t="shared" si="5"/>
        <v>40147.061049999997</v>
      </c>
    </row>
    <row r="119" spans="1:32" ht="13.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7D5A-D57D-4B32-ADBB-B63E12512CBF}">
  <dimension ref="A1:L37"/>
  <sheetViews>
    <sheetView workbookViewId="0">
      <selection activeCell="L27" sqref="L27"/>
    </sheetView>
  </sheetViews>
  <sheetFormatPr defaultRowHeight="14.5" x14ac:dyDescent="0.35"/>
  <cols>
    <col min="11" max="11" width="25.81640625" bestFit="1" customWidth="1"/>
    <col min="12" max="12" width="47" bestFit="1" customWidth="1"/>
  </cols>
  <sheetData>
    <row r="1" spans="1:12" x14ac:dyDescent="0.35">
      <c r="A1" s="259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1"/>
    </row>
    <row r="2" spans="1:12" x14ac:dyDescent="0.35">
      <c r="A2" s="348" t="s">
        <v>349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50"/>
    </row>
    <row r="3" spans="1:12" x14ac:dyDescent="0.35">
      <c r="A3" s="351" t="s">
        <v>350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3"/>
    </row>
    <row r="4" spans="1:12" ht="23.5" x14ac:dyDescent="0.35">
      <c r="A4" s="354" t="s">
        <v>351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6"/>
    </row>
    <row r="5" spans="1:12" x14ac:dyDescent="0.35">
      <c r="A5" s="351" t="s">
        <v>352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3"/>
    </row>
    <row r="6" spans="1:12" x14ac:dyDescent="0.35">
      <c r="A6" s="337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57"/>
    </row>
    <row r="7" spans="1:12" x14ac:dyDescent="0.35">
      <c r="A7" s="337" t="s">
        <v>353</v>
      </c>
      <c r="B7" s="338"/>
      <c r="C7" s="262" t="s">
        <v>300</v>
      </c>
      <c r="D7" s="263" t="s">
        <v>354</v>
      </c>
      <c r="E7" s="347" t="s">
        <v>6</v>
      </c>
      <c r="F7" s="347"/>
      <c r="G7" s="347"/>
      <c r="H7" s="347"/>
      <c r="I7" s="347"/>
      <c r="J7" s="347"/>
      <c r="K7" s="264" t="s">
        <v>1</v>
      </c>
      <c r="L7" s="265" t="s">
        <v>2</v>
      </c>
    </row>
    <row r="8" spans="1:12" x14ac:dyDescent="0.35">
      <c r="A8" s="337" t="s">
        <v>355</v>
      </c>
      <c r="B8" s="338"/>
      <c r="C8" s="338"/>
      <c r="D8" s="339" t="s">
        <v>356</v>
      </c>
      <c r="E8" s="339"/>
      <c r="F8" s="339"/>
      <c r="G8" s="339"/>
      <c r="H8" s="339"/>
      <c r="I8" s="339"/>
      <c r="J8" s="339"/>
      <c r="K8" s="266" t="s">
        <v>357</v>
      </c>
      <c r="L8" s="267" t="s">
        <v>358</v>
      </c>
    </row>
    <row r="9" spans="1:12" x14ac:dyDescent="0.35">
      <c r="A9" s="340"/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2"/>
    </row>
    <row r="10" spans="1:12" x14ac:dyDescent="0.35">
      <c r="A10" s="343"/>
      <c r="B10" s="344"/>
      <c r="C10" s="344"/>
      <c r="D10" s="344"/>
      <c r="E10" s="344"/>
      <c r="F10" s="345" t="s">
        <v>359</v>
      </c>
      <c r="G10" s="345"/>
      <c r="H10" s="345" t="s">
        <v>360</v>
      </c>
      <c r="I10" s="345"/>
      <c r="J10" s="345"/>
      <c r="K10" s="345" t="s">
        <v>361</v>
      </c>
      <c r="L10" s="346" t="s">
        <v>362</v>
      </c>
    </row>
    <row r="11" spans="1:12" x14ac:dyDescent="0.35">
      <c r="A11" s="343"/>
      <c r="B11" s="344"/>
      <c r="C11" s="344"/>
      <c r="D11" s="344"/>
      <c r="E11" s="344"/>
      <c r="F11" s="345"/>
      <c r="G11" s="345"/>
      <c r="H11" s="345"/>
      <c r="I11" s="345"/>
      <c r="J11" s="345"/>
      <c r="K11" s="345"/>
      <c r="L11" s="346"/>
    </row>
    <row r="12" spans="1:12" x14ac:dyDescent="0.35">
      <c r="A12" s="343"/>
      <c r="B12" s="344"/>
      <c r="C12" s="344"/>
      <c r="D12" s="344"/>
      <c r="E12" s="344"/>
      <c r="F12" s="345"/>
      <c r="G12" s="345"/>
      <c r="H12" s="345"/>
      <c r="I12" s="345"/>
      <c r="J12" s="345"/>
      <c r="K12" s="345"/>
      <c r="L12" s="346"/>
    </row>
    <row r="13" spans="1:12" x14ac:dyDescent="0.35">
      <c r="A13" s="334" t="s">
        <v>363</v>
      </c>
      <c r="B13" s="335"/>
      <c r="C13" s="335"/>
      <c r="D13" s="335"/>
      <c r="E13" s="335"/>
      <c r="F13" s="336"/>
      <c r="G13" s="336"/>
      <c r="H13" s="336"/>
      <c r="I13" s="336"/>
      <c r="J13" s="336"/>
      <c r="K13" s="268"/>
      <c r="L13" s="269"/>
    </row>
    <row r="14" spans="1:12" x14ac:dyDescent="0.35">
      <c r="A14" s="270" t="s">
        <v>281</v>
      </c>
      <c r="B14" s="323" t="s">
        <v>364</v>
      </c>
      <c r="C14" s="323"/>
      <c r="D14" s="323"/>
      <c r="E14" s="323"/>
      <c r="F14" s="333">
        <v>756496.38</v>
      </c>
      <c r="G14" s="333"/>
      <c r="H14" s="333">
        <v>794838.41306351149</v>
      </c>
      <c r="I14" s="333"/>
      <c r="J14" s="333"/>
      <c r="K14" s="271">
        <v>25562.633443443101</v>
      </c>
      <c r="L14" s="272">
        <v>782059.01344344311</v>
      </c>
    </row>
    <row r="15" spans="1:12" x14ac:dyDescent="0.35">
      <c r="A15" s="270" t="s">
        <v>282</v>
      </c>
      <c r="B15" s="323" t="s">
        <v>365</v>
      </c>
      <c r="C15" s="323"/>
      <c r="D15" s="323"/>
      <c r="E15" s="323"/>
      <c r="F15" s="333">
        <v>90451.63</v>
      </c>
      <c r="G15" s="333"/>
      <c r="H15" s="333">
        <v>101849.82</v>
      </c>
      <c r="I15" s="333"/>
      <c r="J15" s="333"/>
      <c r="K15" s="271">
        <v>7599.1732730000012</v>
      </c>
      <c r="L15" s="272">
        <v>98050.803273000012</v>
      </c>
    </row>
    <row r="16" spans="1:12" x14ac:dyDescent="0.35">
      <c r="A16" s="270" t="s">
        <v>283</v>
      </c>
      <c r="B16" s="323" t="s">
        <v>366</v>
      </c>
      <c r="C16" s="323"/>
      <c r="D16" s="323"/>
      <c r="E16" s="323"/>
      <c r="F16" s="333">
        <v>102303.87</v>
      </c>
      <c r="G16" s="333"/>
      <c r="H16" s="333">
        <v>145759.37848683415</v>
      </c>
      <c r="I16" s="333"/>
      <c r="J16" s="333"/>
      <c r="K16" s="273">
        <v>28971.787508172325</v>
      </c>
      <c r="L16" s="272">
        <v>131275.65750817233</v>
      </c>
    </row>
    <row r="17" spans="1:12" x14ac:dyDescent="0.35">
      <c r="A17" s="270" t="s">
        <v>284</v>
      </c>
      <c r="B17" s="323" t="s">
        <v>367</v>
      </c>
      <c r="C17" s="323"/>
      <c r="D17" s="323"/>
      <c r="E17" s="323"/>
      <c r="F17" s="333">
        <v>0</v>
      </c>
      <c r="G17" s="333"/>
      <c r="H17" s="333">
        <v>1299.7018970000001</v>
      </c>
      <c r="I17" s="333"/>
      <c r="J17" s="333"/>
      <c r="K17" s="273">
        <v>866.51125472990009</v>
      </c>
      <c r="L17" s="272">
        <v>866.51125472990009</v>
      </c>
    </row>
    <row r="18" spans="1:12" x14ac:dyDescent="0.35">
      <c r="A18" s="270" t="s">
        <v>285</v>
      </c>
      <c r="B18" s="323" t="s">
        <v>368</v>
      </c>
      <c r="C18" s="323"/>
      <c r="D18" s="323"/>
      <c r="E18" s="323"/>
      <c r="F18" s="328">
        <v>0</v>
      </c>
      <c r="G18" s="328"/>
      <c r="H18" s="328">
        <v>102876.903808</v>
      </c>
      <c r="I18" s="328"/>
      <c r="J18" s="328"/>
      <c r="K18" s="273">
        <v>68588.031768793604</v>
      </c>
      <c r="L18" s="272">
        <v>68588.031768793604</v>
      </c>
    </row>
    <row r="19" spans="1:12" x14ac:dyDescent="0.35">
      <c r="A19" s="315"/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7"/>
    </row>
    <row r="20" spans="1:12" x14ac:dyDescent="0.35">
      <c r="A20" s="270" t="s">
        <v>286</v>
      </c>
      <c r="B20" s="323" t="s">
        <v>369</v>
      </c>
      <c r="C20" s="323"/>
      <c r="D20" s="323"/>
      <c r="E20" s="323"/>
      <c r="F20" s="328">
        <v>949251.88</v>
      </c>
      <c r="G20" s="328"/>
      <c r="H20" s="328">
        <v>1146624.2172553455</v>
      </c>
      <c r="I20" s="328"/>
      <c r="J20" s="328"/>
      <c r="K20" s="273">
        <v>131588.13724813893</v>
      </c>
      <c r="L20" s="274">
        <v>1080840.017248139</v>
      </c>
    </row>
    <row r="21" spans="1:12" x14ac:dyDescent="0.35">
      <c r="A21" s="315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7"/>
    </row>
    <row r="22" spans="1:12" x14ac:dyDescent="0.35">
      <c r="A22" s="270" t="s">
        <v>287</v>
      </c>
      <c r="B22" s="323" t="s">
        <v>69</v>
      </c>
      <c r="C22" s="323"/>
      <c r="D22" s="323"/>
      <c r="E22" s="323"/>
      <c r="F22" s="323"/>
      <c r="G22" s="323"/>
      <c r="H22" s="323"/>
      <c r="I22" s="323"/>
      <c r="J22" s="323"/>
      <c r="K22" s="323"/>
      <c r="L22" s="274">
        <v>40379.757599999997</v>
      </c>
    </row>
    <row r="23" spans="1:12" x14ac:dyDescent="0.35">
      <c r="A23" s="270" t="s">
        <v>288</v>
      </c>
      <c r="B23" s="329" t="s">
        <v>370</v>
      </c>
      <c r="C23" s="329"/>
      <c r="D23" s="329"/>
      <c r="E23" s="329"/>
      <c r="F23" s="329"/>
      <c r="G23" s="329"/>
      <c r="H23" s="329"/>
      <c r="I23" s="329"/>
      <c r="J23" s="329"/>
      <c r="K23" s="329"/>
      <c r="L23" s="274">
        <v>65000</v>
      </c>
    </row>
    <row r="24" spans="1:12" x14ac:dyDescent="0.35">
      <c r="A24" s="270" t="s">
        <v>289</v>
      </c>
      <c r="B24" s="323" t="s">
        <v>371</v>
      </c>
      <c r="C24" s="323"/>
      <c r="D24" s="323"/>
      <c r="E24" s="323"/>
      <c r="F24" s="323"/>
      <c r="G24" s="323"/>
      <c r="H24" s="323"/>
      <c r="I24" s="323"/>
      <c r="J24" s="323"/>
      <c r="K24" s="323"/>
      <c r="L24" s="274">
        <v>0</v>
      </c>
    </row>
    <row r="25" spans="1:12" x14ac:dyDescent="0.35">
      <c r="A25" s="270" t="s">
        <v>290</v>
      </c>
      <c r="B25" s="323" t="s">
        <v>372</v>
      </c>
      <c r="C25" s="323"/>
      <c r="D25" s="323"/>
      <c r="E25" s="323"/>
      <c r="F25" s="323"/>
      <c r="G25" s="323"/>
      <c r="H25" s="323"/>
      <c r="I25" s="323"/>
      <c r="J25" s="323"/>
      <c r="K25" s="323"/>
      <c r="L25" s="274">
        <v>99191.505239999999</v>
      </c>
    </row>
    <row r="26" spans="1:12" x14ac:dyDescent="0.35">
      <c r="A26" s="330"/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 s="331"/>
    </row>
    <row r="27" spans="1:12" x14ac:dyDescent="0.35">
      <c r="A27" s="275" t="s">
        <v>291</v>
      </c>
      <c r="B27" s="332" t="s">
        <v>373</v>
      </c>
      <c r="C27" s="332"/>
      <c r="D27" s="332"/>
      <c r="E27" s="332"/>
      <c r="F27" s="332"/>
      <c r="G27" s="332"/>
      <c r="H27" s="332"/>
      <c r="I27" s="332"/>
      <c r="J27" s="332"/>
      <c r="K27" s="332"/>
      <c r="L27" s="276">
        <v>1285411.280088139</v>
      </c>
    </row>
    <row r="28" spans="1:12" x14ac:dyDescent="0.35">
      <c r="A28" s="325"/>
      <c r="B28" s="326"/>
      <c r="C28" s="326"/>
      <c r="D28" s="326"/>
      <c r="E28" s="326"/>
      <c r="F28" s="326"/>
      <c r="G28" s="326"/>
      <c r="H28" s="326"/>
      <c r="I28" s="326"/>
      <c r="J28" s="326"/>
      <c r="K28" s="326"/>
      <c r="L28" s="327"/>
    </row>
    <row r="29" spans="1:12" x14ac:dyDescent="0.35">
      <c r="A29" s="315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7"/>
    </row>
    <row r="30" spans="1:12" x14ac:dyDescent="0.35">
      <c r="A30" s="318" t="s">
        <v>374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20"/>
    </row>
    <row r="31" spans="1:12" x14ac:dyDescent="0.35">
      <c r="A31" s="321" t="s">
        <v>375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274">
        <v>41117.117109155915</v>
      </c>
    </row>
    <row r="32" spans="1:12" x14ac:dyDescent="0.35">
      <c r="A32" s="277"/>
      <c r="B32" s="323" t="s">
        <v>376</v>
      </c>
      <c r="C32" s="323"/>
      <c r="D32" s="323"/>
      <c r="E32" s="323"/>
      <c r="F32" s="323"/>
      <c r="G32" s="323"/>
      <c r="H32" s="323"/>
      <c r="I32" s="323"/>
      <c r="J32" s="323"/>
      <c r="K32" s="323"/>
      <c r="L32" s="278"/>
    </row>
    <row r="33" spans="1:12" ht="15" thickBot="1" x14ac:dyDescent="0.4">
      <c r="A33" s="279"/>
      <c r="B33" s="324" t="s">
        <v>377</v>
      </c>
      <c r="C33" s="324"/>
      <c r="D33" s="324"/>
      <c r="E33" s="324"/>
      <c r="F33" s="324"/>
      <c r="G33" s="324"/>
      <c r="H33" s="324"/>
      <c r="I33" s="324"/>
      <c r="J33" s="324"/>
      <c r="K33" s="324"/>
      <c r="L33" s="280"/>
    </row>
    <row r="36" spans="1:12" x14ac:dyDescent="0.35">
      <c r="A36" t="s">
        <v>378</v>
      </c>
    </row>
    <row r="37" spans="1:12" x14ac:dyDescent="0.35">
      <c r="A37" t="s">
        <v>379</v>
      </c>
    </row>
  </sheetData>
  <mergeCells count="50">
    <mergeCell ref="A7:B7"/>
    <mergeCell ref="E7:J7"/>
    <mergeCell ref="A2:L2"/>
    <mergeCell ref="A3:L3"/>
    <mergeCell ref="A4:L4"/>
    <mergeCell ref="A5:L5"/>
    <mergeCell ref="A6:L6"/>
    <mergeCell ref="A8:C8"/>
    <mergeCell ref="D8:J8"/>
    <mergeCell ref="A9:L9"/>
    <mergeCell ref="A10:E12"/>
    <mergeCell ref="F10:G12"/>
    <mergeCell ref="H10:J12"/>
    <mergeCell ref="K10:K12"/>
    <mergeCell ref="L10:L12"/>
    <mergeCell ref="A13:E13"/>
    <mergeCell ref="F13:G13"/>
    <mergeCell ref="H13:J13"/>
    <mergeCell ref="B14:E14"/>
    <mergeCell ref="F14:G14"/>
    <mergeCell ref="H14:J14"/>
    <mergeCell ref="B15:E15"/>
    <mergeCell ref="F15:G15"/>
    <mergeCell ref="H15:J15"/>
    <mergeCell ref="B16:E16"/>
    <mergeCell ref="F16:G16"/>
    <mergeCell ref="H16:J16"/>
    <mergeCell ref="B17:E17"/>
    <mergeCell ref="F17:G17"/>
    <mergeCell ref="H17:J17"/>
    <mergeCell ref="B18:E18"/>
    <mergeCell ref="F18:G18"/>
    <mergeCell ref="H18:J18"/>
    <mergeCell ref="A28:L28"/>
    <mergeCell ref="A19:L19"/>
    <mergeCell ref="B20:E20"/>
    <mergeCell ref="F20:G20"/>
    <mergeCell ref="H20:J20"/>
    <mergeCell ref="A21:L21"/>
    <mergeCell ref="B22:K22"/>
    <mergeCell ref="B23:K23"/>
    <mergeCell ref="B24:K24"/>
    <mergeCell ref="B25:K25"/>
    <mergeCell ref="A26:L26"/>
    <mergeCell ref="B27:K27"/>
    <mergeCell ref="A29:L29"/>
    <mergeCell ref="A30:L30"/>
    <mergeCell ref="A31:K31"/>
    <mergeCell ref="B32:K32"/>
    <mergeCell ref="B33:K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69B-4442-4EB3-A819-74B8C7148C94}">
  <dimension ref="A1:L37"/>
  <sheetViews>
    <sheetView topLeftCell="A6" workbookViewId="0">
      <selection activeCell="A37" sqref="A37"/>
    </sheetView>
  </sheetViews>
  <sheetFormatPr defaultRowHeight="14.5" x14ac:dyDescent="0.35"/>
  <cols>
    <col min="11" max="11" width="25.81640625" bestFit="1" customWidth="1"/>
    <col min="12" max="12" width="47" bestFit="1" customWidth="1"/>
  </cols>
  <sheetData>
    <row r="1" spans="1:12" x14ac:dyDescent="0.35">
      <c r="A1" s="259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1"/>
    </row>
    <row r="2" spans="1:12" x14ac:dyDescent="0.35">
      <c r="A2" s="348" t="s">
        <v>349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50"/>
    </row>
    <row r="3" spans="1:12" x14ac:dyDescent="0.35">
      <c r="A3" s="351" t="s">
        <v>350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3"/>
    </row>
    <row r="4" spans="1:12" ht="23.5" x14ac:dyDescent="0.35">
      <c r="A4" s="354" t="s">
        <v>351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6"/>
    </row>
    <row r="5" spans="1:12" x14ac:dyDescent="0.35">
      <c r="A5" s="351" t="s">
        <v>352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3"/>
    </row>
    <row r="6" spans="1:12" x14ac:dyDescent="0.35">
      <c r="A6" s="337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57"/>
    </row>
    <row r="7" spans="1:12" x14ac:dyDescent="0.35">
      <c r="A7" s="337" t="s">
        <v>353</v>
      </c>
      <c r="B7" s="338"/>
      <c r="C7" s="262" t="s">
        <v>300</v>
      </c>
      <c r="D7" s="263" t="s">
        <v>354</v>
      </c>
      <c r="E7" s="347" t="s">
        <v>6</v>
      </c>
      <c r="F7" s="347"/>
      <c r="G7" s="347"/>
      <c r="H7" s="347"/>
      <c r="I7" s="347"/>
      <c r="J7" s="347"/>
      <c r="K7" s="264" t="s">
        <v>1</v>
      </c>
      <c r="L7" s="265" t="s">
        <v>2</v>
      </c>
    </row>
    <row r="8" spans="1:12" x14ac:dyDescent="0.35">
      <c r="A8" s="337" t="s">
        <v>355</v>
      </c>
      <c r="B8" s="338"/>
      <c r="C8" s="338"/>
      <c r="D8" s="339" t="s">
        <v>356</v>
      </c>
      <c r="E8" s="339"/>
      <c r="F8" s="339"/>
      <c r="G8" s="339"/>
      <c r="H8" s="339"/>
      <c r="I8" s="339"/>
      <c r="J8" s="339"/>
      <c r="K8" s="266" t="s">
        <v>357</v>
      </c>
      <c r="L8" s="267" t="s">
        <v>358</v>
      </c>
    </row>
    <row r="9" spans="1:12" x14ac:dyDescent="0.35">
      <c r="A9" s="340"/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2"/>
    </row>
    <row r="10" spans="1:12" ht="14.5" customHeight="1" x14ac:dyDescent="0.35">
      <c r="A10" s="343"/>
      <c r="B10" s="344"/>
      <c r="C10" s="344"/>
      <c r="D10" s="344"/>
      <c r="E10" s="344"/>
      <c r="F10" s="345" t="s">
        <v>359</v>
      </c>
      <c r="G10" s="345"/>
      <c r="H10" s="345" t="s">
        <v>360</v>
      </c>
      <c r="I10" s="345"/>
      <c r="J10" s="345"/>
      <c r="K10" s="345" t="s">
        <v>361</v>
      </c>
      <c r="L10" s="346" t="s">
        <v>362</v>
      </c>
    </row>
    <row r="11" spans="1:12" x14ac:dyDescent="0.35">
      <c r="A11" s="343"/>
      <c r="B11" s="344"/>
      <c r="C11" s="344"/>
      <c r="D11" s="344"/>
      <c r="E11" s="344"/>
      <c r="F11" s="345"/>
      <c r="G11" s="345"/>
      <c r="H11" s="345"/>
      <c r="I11" s="345"/>
      <c r="J11" s="345"/>
      <c r="K11" s="345"/>
      <c r="L11" s="346"/>
    </row>
    <row r="12" spans="1:12" x14ac:dyDescent="0.35">
      <c r="A12" s="343"/>
      <c r="B12" s="344"/>
      <c r="C12" s="344"/>
      <c r="D12" s="344"/>
      <c r="E12" s="344"/>
      <c r="F12" s="345"/>
      <c r="G12" s="345"/>
      <c r="H12" s="345"/>
      <c r="I12" s="345"/>
      <c r="J12" s="345"/>
      <c r="K12" s="345"/>
      <c r="L12" s="346"/>
    </row>
    <row r="13" spans="1:12" x14ac:dyDescent="0.35">
      <c r="A13" s="334" t="s">
        <v>363</v>
      </c>
      <c r="B13" s="335"/>
      <c r="C13" s="335"/>
      <c r="D13" s="335"/>
      <c r="E13" s="335"/>
      <c r="F13" s="336"/>
      <c r="G13" s="336"/>
      <c r="H13" s="336"/>
      <c r="I13" s="336"/>
      <c r="J13" s="336"/>
      <c r="K13" s="268"/>
      <c r="L13" s="269"/>
    </row>
    <row r="14" spans="1:12" x14ac:dyDescent="0.35">
      <c r="A14" s="270" t="s">
        <v>281</v>
      </c>
      <c r="B14" s="323" t="s">
        <v>364</v>
      </c>
      <c r="C14" s="323"/>
      <c r="D14" s="323"/>
      <c r="E14" s="323"/>
      <c r="F14" s="333">
        <v>756496.38</v>
      </c>
      <c r="G14" s="333"/>
      <c r="H14" s="333">
        <v>1188815.9285337634</v>
      </c>
      <c r="I14" s="333"/>
      <c r="J14" s="333"/>
      <c r="K14" s="271">
        <v>288227.44300746004</v>
      </c>
      <c r="L14" s="272">
        <v>1044723.82300746</v>
      </c>
    </row>
    <row r="15" spans="1:12" x14ac:dyDescent="0.35">
      <c r="A15" s="270" t="s">
        <v>282</v>
      </c>
      <c r="B15" s="323" t="s">
        <v>365</v>
      </c>
      <c r="C15" s="323"/>
      <c r="D15" s="323"/>
      <c r="E15" s="323"/>
      <c r="F15" s="333">
        <v>90451.63</v>
      </c>
      <c r="G15" s="333"/>
      <c r="H15" s="333">
        <v>152774.72</v>
      </c>
      <c r="I15" s="333"/>
      <c r="J15" s="333"/>
      <c r="K15" s="271">
        <v>41550.804102999995</v>
      </c>
      <c r="L15" s="272">
        <v>132002.43410300001</v>
      </c>
    </row>
    <row r="16" spans="1:12" x14ac:dyDescent="0.35">
      <c r="A16" s="270" t="s">
        <v>283</v>
      </c>
      <c r="B16" s="323" t="s">
        <v>366</v>
      </c>
      <c r="C16" s="323"/>
      <c r="D16" s="323"/>
      <c r="E16" s="323"/>
      <c r="F16" s="333">
        <v>102303.87</v>
      </c>
      <c r="G16" s="333"/>
      <c r="H16" s="333">
        <v>218639.0677302512</v>
      </c>
      <c r="I16" s="333"/>
      <c r="J16" s="333"/>
      <c r="K16" s="273">
        <v>77560.676326758476</v>
      </c>
      <c r="L16" s="272">
        <v>179864.54632675846</v>
      </c>
    </row>
    <row r="17" spans="1:12" x14ac:dyDescent="0.35">
      <c r="A17" s="270" t="s">
        <v>284</v>
      </c>
      <c r="B17" s="323" t="s">
        <v>367</v>
      </c>
      <c r="C17" s="323"/>
      <c r="D17" s="323"/>
      <c r="E17" s="323"/>
      <c r="F17" s="333">
        <v>0</v>
      </c>
      <c r="G17" s="333"/>
      <c r="H17" s="333">
        <v>0</v>
      </c>
      <c r="I17" s="333"/>
      <c r="J17" s="333"/>
      <c r="K17" s="273">
        <v>0</v>
      </c>
      <c r="L17" s="272">
        <v>0</v>
      </c>
    </row>
    <row r="18" spans="1:12" x14ac:dyDescent="0.35">
      <c r="A18" s="270" t="s">
        <v>285</v>
      </c>
      <c r="B18" s="323" t="s">
        <v>368</v>
      </c>
      <c r="C18" s="323"/>
      <c r="D18" s="323"/>
      <c r="E18" s="323"/>
      <c r="F18" s="328">
        <v>0</v>
      </c>
      <c r="G18" s="328"/>
      <c r="H18" s="328">
        <v>144670.64598</v>
      </c>
      <c r="I18" s="328"/>
      <c r="J18" s="328"/>
      <c r="K18" s="273">
        <v>96451.919674865989</v>
      </c>
      <c r="L18" s="272">
        <v>96451.919674865989</v>
      </c>
    </row>
    <row r="19" spans="1:12" x14ac:dyDescent="0.35">
      <c r="A19" s="315"/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7"/>
    </row>
    <row r="20" spans="1:12" x14ac:dyDescent="0.35">
      <c r="A20" s="270" t="s">
        <v>286</v>
      </c>
      <c r="B20" s="323" t="s">
        <v>369</v>
      </c>
      <c r="C20" s="323"/>
      <c r="D20" s="323"/>
      <c r="E20" s="323"/>
      <c r="F20" s="328">
        <v>949251.88</v>
      </c>
      <c r="G20" s="328"/>
      <c r="H20" s="328">
        <v>1704900.3622440146</v>
      </c>
      <c r="I20" s="328"/>
      <c r="J20" s="328"/>
      <c r="K20" s="273">
        <v>503790.84311208443</v>
      </c>
      <c r="L20" s="274">
        <v>1453042.7231120844</v>
      </c>
    </row>
    <row r="21" spans="1:12" x14ac:dyDescent="0.35">
      <c r="A21" s="315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7"/>
    </row>
    <row r="22" spans="1:12" x14ac:dyDescent="0.35">
      <c r="A22" s="270" t="s">
        <v>287</v>
      </c>
      <c r="B22" s="323" t="s">
        <v>69</v>
      </c>
      <c r="C22" s="323"/>
      <c r="D22" s="323"/>
      <c r="E22" s="323"/>
      <c r="F22" s="323"/>
      <c r="G22" s="323"/>
      <c r="H22" s="323"/>
      <c r="I22" s="323"/>
      <c r="J22" s="323"/>
      <c r="K22" s="323"/>
      <c r="L22" s="274">
        <v>66560.040000000008</v>
      </c>
    </row>
    <row r="23" spans="1:12" x14ac:dyDescent="0.35">
      <c r="A23" s="270" t="s">
        <v>288</v>
      </c>
      <c r="B23" s="329" t="s">
        <v>370</v>
      </c>
      <c r="C23" s="329"/>
      <c r="D23" s="329"/>
      <c r="E23" s="329"/>
      <c r="F23" s="329"/>
      <c r="G23" s="329"/>
      <c r="H23" s="329"/>
      <c r="I23" s="329"/>
      <c r="J23" s="329"/>
      <c r="K23" s="329"/>
      <c r="L23" s="274">
        <v>97500</v>
      </c>
    </row>
    <row r="24" spans="1:12" x14ac:dyDescent="0.35">
      <c r="A24" s="270" t="s">
        <v>289</v>
      </c>
      <c r="B24" s="323" t="s">
        <v>371</v>
      </c>
      <c r="C24" s="323"/>
      <c r="D24" s="323"/>
      <c r="E24" s="323"/>
      <c r="F24" s="323"/>
      <c r="G24" s="323"/>
      <c r="H24" s="323"/>
      <c r="I24" s="323"/>
      <c r="J24" s="323"/>
      <c r="K24" s="323"/>
      <c r="L24" s="274">
        <v>0</v>
      </c>
    </row>
    <row r="25" spans="1:12" x14ac:dyDescent="0.35">
      <c r="A25" s="270" t="s">
        <v>290</v>
      </c>
      <c r="B25" s="323" t="s">
        <v>372</v>
      </c>
      <c r="C25" s="323"/>
      <c r="D25" s="323"/>
      <c r="E25" s="323"/>
      <c r="F25" s="323"/>
      <c r="G25" s="323"/>
      <c r="H25" s="323"/>
      <c r="I25" s="323"/>
      <c r="J25" s="323"/>
      <c r="K25" s="323"/>
      <c r="L25" s="274">
        <v>148787.25786000001</v>
      </c>
    </row>
    <row r="26" spans="1:12" x14ac:dyDescent="0.35">
      <c r="A26" s="330"/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 s="331"/>
    </row>
    <row r="27" spans="1:12" x14ac:dyDescent="0.35">
      <c r="A27" s="275" t="s">
        <v>291</v>
      </c>
      <c r="B27" s="332" t="s">
        <v>373</v>
      </c>
      <c r="C27" s="332"/>
      <c r="D27" s="332"/>
      <c r="E27" s="332"/>
      <c r="F27" s="332"/>
      <c r="G27" s="332"/>
      <c r="H27" s="332"/>
      <c r="I27" s="332"/>
      <c r="J27" s="332"/>
      <c r="K27" s="332"/>
      <c r="L27" s="276">
        <v>1765890.0209720845</v>
      </c>
    </row>
    <row r="28" spans="1:12" x14ac:dyDescent="0.35">
      <c r="A28" s="325"/>
      <c r="B28" s="326"/>
      <c r="C28" s="326"/>
      <c r="D28" s="326"/>
      <c r="E28" s="326"/>
      <c r="F28" s="326"/>
      <c r="G28" s="326"/>
      <c r="H28" s="326"/>
      <c r="I28" s="326"/>
      <c r="J28" s="326"/>
      <c r="K28" s="326"/>
      <c r="L28" s="327"/>
    </row>
    <row r="29" spans="1:12" x14ac:dyDescent="0.35">
      <c r="A29" s="315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7"/>
    </row>
    <row r="30" spans="1:12" x14ac:dyDescent="0.35">
      <c r="A30" s="318" t="s">
        <v>374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20"/>
    </row>
    <row r="31" spans="1:12" x14ac:dyDescent="0.35">
      <c r="A31" s="321" t="s">
        <v>375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274">
        <v>55085.858279386463</v>
      </c>
    </row>
    <row r="32" spans="1:12" x14ac:dyDescent="0.35">
      <c r="A32" s="277"/>
      <c r="B32" s="323" t="s">
        <v>376</v>
      </c>
      <c r="C32" s="323"/>
      <c r="D32" s="323"/>
      <c r="E32" s="323"/>
      <c r="F32" s="323"/>
      <c r="G32" s="323"/>
      <c r="H32" s="323"/>
      <c r="I32" s="323"/>
      <c r="J32" s="323"/>
      <c r="K32" s="323"/>
      <c r="L32" s="278"/>
    </row>
    <row r="33" spans="1:12" ht="15" thickBot="1" x14ac:dyDescent="0.4">
      <c r="A33" s="279"/>
      <c r="B33" s="324" t="s">
        <v>377</v>
      </c>
      <c r="C33" s="324"/>
      <c r="D33" s="324"/>
      <c r="E33" s="324"/>
      <c r="F33" s="324"/>
      <c r="G33" s="324"/>
      <c r="H33" s="324"/>
      <c r="I33" s="324"/>
      <c r="J33" s="324"/>
      <c r="K33" s="324"/>
      <c r="L33" s="280"/>
    </row>
    <row r="36" spans="1:12" x14ac:dyDescent="0.35">
      <c r="A36" t="s">
        <v>415</v>
      </c>
    </row>
    <row r="37" spans="1:12" x14ac:dyDescent="0.35">
      <c r="A37" t="s">
        <v>379</v>
      </c>
    </row>
  </sheetData>
  <mergeCells count="50">
    <mergeCell ref="A7:B7"/>
    <mergeCell ref="E7:J7"/>
    <mergeCell ref="A2:L2"/>
    <mergeCell ref="A3:L3"/>
    <mergeCell ref="A4:L4"/>
    <mergeCell ref="A5:L5"/>
    <mergeCell ref="A6:L6"/>
    <mergeCell ref="A8:C8"/>
    <mergeCell ref="D8:J8"/>
    <mergeCell ref="A9:L9"/>
    <mergeCell ref="A10:E12"/>
    <mergeCell ref="F10:G12"/>
    <mergeCell ref="H10:J12"/>
    <mergeCell ref="K10:K12"/>
    <mergeCell ref="L10:L12"/>
    <mergeCell ref="A13:E13"/>
    <mergeCell ref="F13:G13"/>
    <mergeCell ref="H13:J13"/>
    <mergeCell ref="B14:E14"/>
    <mergeCell ref="F14:G14"/>
    <mergeCell ref="H14:J14"/>
    <mergeCell ref="B15:E15"/>
    <mergeCell ref="F15:G15"/>
    <mergeCell ref="H15:J15"/>
    <mergeCell ref="B16:E16"/>
    <mergeCell ref="F16:G16"/>
    <mergeCell ref="H16:J16"/>
    <mergeCell ref="B17:E17"/>
    <mergeCell ref="F17:G17"/>
    <mergeCell ref="H17:J17"/>
    <mergeCell ref="B18:E18"/>
    <mergeCell ref="F18:G18"/>
    <mergeCell ref="H18:J18"/>
    <mergeCell ref="A28:L28"/>
    <mergeCell ref="A19:L19"/>
    <mergeCell ref="B20:E20"/>
    <mergeCell ref="F20:G20"/>
    <mergeCell ref="H20:J20"/>
    <mergeCell ref="A21:L21"/>
    <mergeCell ref="B22:K22"/>
    <mergeCell ref="B23:K23"/>
    <mergeCell ref="B24:K24"/>
    <mergeCell ref="B25:K25"/>
    <mergeCell ref="A26:L26"/>
    <mergeCell ref="B27:K27"/>
    <mergeCell ref="A29:L29"/>
    <mergeCell ref="A30:L30"/>
    <mergeCell ref="A31:K31"/>
    <mergeCell ref="B32:K32"/>
    <mergeCell ref="B33:K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78E0-3F0D-442D-999E-5908E34E9981}">
  <sheetPr>
    <pageSetUpPr fitToPage="1"/>
  </sheetPr>
  <dimension ref="B1:O116"/>
  <sheetViews>
    <sheetView topLeftCell="A26" workbookViewId="0">
      <selection activeCell="D47" sqref="D47"/>
    </sheetView>
  </sheetViews>
  <sheetFormatPr defaultColWidth="9.1796875" defaultRowHeight="15.5" x14ac:dyDescent="0.35"/>
  <cols>
    <col min="1" max="1" width="1.81640625" style="230" customWidth="1"/>
    <col min="2" max="15" width="18.7265625" style="230" customWidth="1"/>
    <col min="16" max="16384" width="9.1796875" style="230"/>
  </cols>
  <sheetData>
    <row r="1" spans="2:15" ht="16" thickBot="1" x14ac:dyDescent="0.4"/>
    <row r="2" spans="2:15" ht="18" x14ac:dyDescent="0.35">
      <c r="B2" s="360" t="s">
        <v>321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2"/>
    </row>
    <row r="3" spans="2:15" x14ac:dyDescent="0.35">
      <c r="B3" s="231"/>
      <c r="O3" s="232"/>
    </row>
    <row r="4" spans="2:15" ht="18" customHeight="1" thickBot="1" x14ac:dyDescent="0.4">
      <c r="B4" s="231"/>
      <c r="O4" s="232"/>
    </row>
    <row r="5" spans="2:15" ht="18" customHeight="1" thickBot="1" x14ac:dyDescent="0.4">
      <c r="B5" s="363" t="s">
        <v>303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</row>
    <row r="6" spans="2:15" ht="18" customHeight="1" x14ac:dyDescent="0.35">
      <c r="B6" s="233" t="s">
        <v>304</v>
      </c>
      <c r="C6" s="234" t="s">
        <v>291</v>
      </c>
      <c r="D6" s="234">
        <v>1</v>
      </c>
      <c r="E6" s="234">
        <v>2</v>
      </c>
      <c r="F6" s="234">
        <v>3</v>
      </c>
      <c r="G6" s="234">
        <v>4</v>
      </c>
      <c r="H6" s="234">
        <v>5</v>
      </c>
      <c r="I6" s="234">
        <v>6</v>
      </c>
      <c r="J6" s="234">
        <v>7</v>
      </c>
      <c r="K6" s="234">
        <v>8</v>
      </c>
      <c r="L6" s="234">
        <v>9</v>
      </c>
      <c r="M6" s="234">
        <v>10</v>
      </c>
      <c r="N6" s="234">
        <v>11</v>
      </c>
      <c r="O6" s="235">
        <v>12</v>
      </c>
    </row>
    <row r="7" spans="2:15" ht="18" customHeight="1" thickBot="1" x14ac:dyDescent="0.4">
      <c r="B7" s="236" t="s">
        <v>305</v>
      </c>
      <c r="C7" s="237"/>
      <c r="D7" s="237"/>
      <c r="E7" s="237"/>
      <c r="F7" s="237"/>
      <c r="G7" s="237"/>
      <c r="H7" s="237"/>
      <c r="I7" s="237"/>
      <c r="J7" s="237"/>
      <c r="K7" s="237">
        <v>15</v>
      </c>
      <c r="L7" s="237">
        <v>26</v>
      </c>
      <c r="M7" s="237">
        <v>15</v>
      </c>
      <c r="N7" s="237">
        <v>25</v>
      </c>
      <c r="O7" s="238">
        <v>14</v>
      </c>
    </row>
    <row r="8" spans="2:15" ht="18" customHeight="1" x14ac:dyDescent="0.35">
      <c r="B8" s="239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40"/>
    </row>
    <row r="9" spans="2:15" ht="18" customHeight="1" thickBot="1" x14ac:dyDescent="0.4">
      <c r="B9" s="231"/>
      <c r="O9" s="232"/>
    </row>
    <row r="10" spans="2:15" ht="18" customHeight="1" thickBot="1" x14ac:dyDescent="0.4">
      <c r="B10" s="366" t="s">
        <v>306</v>
      </c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8"/>
    </row>
    <row r="11" spans="2:15" ht="18" customHeight="1" x14ac:dyDescent="0.35">
      <c r="B11" s="233" t="s">
        <v>304</v>
      </c>
      <c r="C11" s="234" t="s">
        <v>291</v>
      </c>
      <c r="D11" s="234">
        <v>1</v>
      </c>
      <c r="E11" s="234">
        <v>2</v>
      </c>
      <c r="F11" s="234">
        <v>3</v>
      </c>
      <c r="G11" s="234">
        <v>4</v>
      </c>
      <c r="H11" s="234">
        <v>5</v>
      </c>
      <c r="I11" s="234">
        <v>6</v>
      </c>
      <c r="J11" s="234">
        <v>7</v>
      </c>
      <c r="K11" s="234">
        <v>8</v>
      </c>
      <c r="L11" s="234">
        <v>9</v>
      </c>
      <c r="M11" s="234">
        <v>10</v>
      </c>
      <c r="N11" s="234">
        <v>11</v>
      </c>
      <c r="O11" s="235">
        <v>12</v>
      </c>
    </row>
    <row r="12" spans="2:15" ht="18" customHeight="1" thickBot="1" x14ac:dyDescent="0.4">
      <c r="B12" s="236" t="s">
        <v>307</v>
      </c>
      <c r="C12" s="237"/>
      <c r="D12" s="237"/>
      <c r="E12" s="237"/>
      <c r="F12" s="237"/>
      <c r="G12" s="237"/>
      <c r="H12" s="237"/>
      <c r="I12" s="237"/>
      <c r="J12" s="237"/>
      <c r="K12" s="237">
        <v>10</v>
      </c>
      <c r="L12" s="237">
        <v>10</v>
      </c>
      <c r="M12" s="237">
        <v>10</v>
      </c>
      <c r="N12" s="237">
        <v>10</v>
      </c>
      <c r="O12" s="238">
        <v>10</v>
      </c>
    </row>
    <row r="13" spans="2:15" ht="18" customHeight="1" x14ac:dyDescent="0.35">
      <c r="B13" s="239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40"/>
    </row>
    <row r="14" spans="2:15" ht="18" customHeight="1" thickBot="1" x14ac:dyDescent="0.4">
      <c r="B14" s="231"/>
      <c r="O14" s="232"/>
    </row>
    <row r="15" spans="2:15" ht="18" customHeight="1" thickBot="1" x14ac:dyDescent="0.4">
      <c r="B15" s="369" t="s">
        <v>308</v>
      </c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1"/>
    </row>
    <row r="16" spans="2:15" ht="18" customHeight="1" x14ac:dyDescent="0.35">
      <c r="B16" s="233" t="s">
        <v>304</v>
      </c>
      <c r="C16" s="234" t="s">
        <v>291</v>
      </c>
      <c r="D16" s="234">
        <v>1</v>
      </c>
      <c r="E16" s="234">
        <v>2</v>
      </c>
      <c r="F16" s="234">
        <v>3</v>
      </c>
      <c r="G16" s="234">
        <v>4</v>
      </c>
      <c r="H16" s="234">
        <v>5</v>
      </c>
      <c r="I16" s="234">
        <v>6</v>
      </c>
      <c r="J16" s="234">
        <v>7</v>
      </c>
      <c r="K16" s="234">
        <v>8</v>
      </c>
      <c r="L16" s="234">
        <v>9</v>
      </c>
      <c r="M16" s="234">
        <v>10</v>
      </c>
      <c r="N16" s="234">
        <v>11</v>
      </c>
      <c r="O16" s="235">
        <v>12</v>
      </c>
    </row>
    <row r="17" spans="2:15" ht="16" thickBot="1" x14ac:dyDescent="0.4">
      <c r="B17" s="236" t="s">
        <v>307</v>
      </c>
      <c r="C17" s="237"/>
      <c r="D17" s="237"/>
      <c r="E17" s="237"/>
      <c r="F17" s="237"/>
      <c r="G17" s="237"/>
      <c r="H17" s="237"/>
      <c r="I17" s="237"/>
      <c r="J17" s="237"/>
      <c r="K17" s="237">
        <v>2</v>
      </c>
      <c r="L17" s="237">
        <v>2</v>
      </c>
      <c r="M17" s="237">
        <v>2</v>
      </c>
      <c r="N17" s="237">
        <v>2</v>
      </c>
      <c r="O17" s="238">
        <v>2</v>
      </c>
    </row>
    <row r="18" spans="2:15" x14ac:dyDescent="0.35">
      <c r="B18" s="239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40"/>
    </row>
    <row r="19" spans="2:15" ht="16" thickBot="1" x14ac:dyDescent="0.4">
      <c r="B19" s="231"/>
      <c r="O19" s="232"/>
    </row>
    <row r="20" spans="2:15" ht="16" thickBot="1" x14ac:dyDescent="0.4">
      <c r="B20" s="372" t="s">
        <v>309</v>
      </c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4"/>
    </row>
    <row r="21" spans="2:15" x14ac:dyDescent="0.35">
      <c r="B21" s="233" t="s">
        <v>304</v>
      </c>
      <c r="C21" s="234" t="s">
        <v>291</v>
      </c>
      <c r="D21" s="234">
        <v>1</v>
      </c>
      <c r="E21" s="234">
        <v>2</v>
      </c>
      <c r="F21" s="234">
        <v>3</v>
      </c>
      <c r="G21" s="234">
        <v>4</v>
      </c>
      <c r="H21" s="234">
        <v>5</v>
      </c>
      <c r="I21" s="234">
        <v>6</v>
      </c>
      <c r="J21" s="234">
        <v>7</v>
      </c>
      <c r="K21" s="234">
        <v>8</v>
      </c>
      <c r="L21" s="234">
        <v>9</v>
      </c>
      <c r="M21" s="234">
        <v>10</v>
      </c>
      <c r="N21" s="234">
        <v>11</v>
      </c>
      <c r="O21" s="235">
        <v>12</v>
      </c>
    </row>
    <row r="22" spans="2:15" ht="16" thickBot="1" x14ac:dyDescent="0.4">
      <c r="B22" s="236" t="s">
        <v>307</v>
      </c>
      <c r="C22" s="237"/>
      <c r="D22" s="237"/>
      <c r="E22" s="237"/>
      <c r="F22" s="237"/>
      <c r="G22" s="237"/>
      <c r="H22" s="237"/>
      <c r="I22" s="237"/>
      <c r="J22" s="237"/>
      <c r="K22" s="237">
        <v>2</v>
      </c>
      <c r="L22" s="237">
        <v>2</v>
      </c>
      <c r="M22" s="237">
        <v>2</v>
      </c>
      <c r="N22" s="237">
        <v>2</v>
      </c>
      <c r="O22" s="238">
        <v>2</v>
      </c>
    </row>
    <row r="23" spans="2:15" x14ac:dyDescent="0.35">
      <c r="B23" s="239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40"/>
    </row>
    <row r="24" spans="2:15" ht="16" thickBot="1" x14ac:dyDescent="0.4">
      <c r="B24" s="231"/>
      <c r="O24" s="232"/>
    </row>
    <row r="25" spans="2:15" ht="16" thickBot="1" x14ac:dyDescent="0.4">
      <c r="B25" s="375" t="s">
        <v>310</v>
      </c>
      <c r="C25" s="376"/>
      <c r="D25" s="377"/>
      <c r="F25" s="309" t="s">
        <v>322</v>
      </c>
      <c r="G25" s="310"/>
      <c r="H25" s="310"/>
      <c r="I25" s="310"/>
      <c r="J25" s="310"/>
      <c r="K25" s="311"/>
      <c r="O25" s="232"/>
    </row>
    <row r="26" spans="2:15" ht="16" thickBot="1" x14ac:dyDescent="0.4">
      <c r="B26" s="378" t="s">
        <v>61</v>
      </c>
      <c r="C26" s="379"/>
      <c r="D26" s="241">
        <f>+Forecast!E74</f>
        <v>94500</v>
      </c>
      <c r="F26" s="312"/>
      <c r="G26" s="313"/>
      <c r="H26" s="313"/>
      <c r="I26" s="313"/>
      <c r="J26" s="313"/>
      <c r="K26" s="314"/>
      <c r="O26" s="232"/>
    </row>
    <row r="27" spans="2:15" ht="29" x14ac:dyDescent="0.35">
      <c r="B27" s="358" t="s">
        <v>62</v>
      </c>
      <c r="C27" s="359"/>
      <c r="D27" s="244">
        <f>+Forecast!E75</f>
        <v>29472.42</v>
      </c>
      <c r="F27" s="153" t="s">
        <v>91</v>
      </c>
      <c r="G27" s="154" t="s">
        <v>92</v>
      </c>
      <c r="H27" s="154" t="s">
        <v>93</v>
      </c>
      <c r="I27" s="154" t="s">
        <v>94</v>
      </c>
      <c r="J27" s="155" t="s">
        <v>95</v>
      </c>
      <c r="K27" s="156" t="s">
        <v>311</v>
      </c>
      <c r="O27" s="232"/>
    </row>
    <row r="28" spans="2:15" x14ac:dyDescent="0.25">
      <c r="B28" s="358" t="s">
        <v>63</v>
      </c>
      <c r="C28" s="359"/>
      <c r="D28" s="244">
        <f>+Forecast!E76</f>
        <v>19428.86</v>
      </c>
      <c r="F28" s="158" t="s">
        <v>97</v>
      </c>
      <c r="G28" s="159">
        <v>0</v>
      </c>
      <c r="H28" s="159">
        <v>0</v>
      </c>
      <c r="I28" s="159">
        <v>0</v>
      </c>
      <c r="J28" s="159">
        <v>0</v>
      </c>
      <c r="K28" s="160"/>
      <c r="O28" s="232"/>
    </row>
    <row r="29" spans="2:15" x14ac:dyDescent="0.25">
      <c r="B29" s="358" t="s">
        <v>64</v>
      </c>
      <c r="C29" s="359"/>
      <c r="D29" s="244">
        <f>+Forecast!E77</f>
        <v>11260</v>
      </c>
      <c r="F29" s="163" t="s">
        <v>312</v>
      </c>
      <c r="G29" s="165"/>
      <c r="H29" s="165"/>
      <c r="I29" s="165">
        <v>0</v>
      </c>
      <c r="J29" s="165">
        <f>+G29-H29</f>
        <v>0</v>
      </c>
      <c r="K29" s="168"/>
      <c r="O29" s="232"/>
    </row>
    <row r="30" spans="2:15" x14ac:dyDescent="0.25">
      <c r="B30" s="358" t="s">
        <v>65</v>
      </c>
      <c r="C30" s="359"/>
      <c r="D30" s="244"/>
      <c r="F30" s="158" t="s">
        <v>313</v>
      </c>
      <c r="G30" s="159">
        <v>0</v>
      </c>
      <c r="H30" s="159">
        <v>0</v>
      </c>
      <c r="I30" s="159">
        <v>0</v>
      </c>
      <c r="J30" s="159">
        <v>0</v>
      </c>
      <c r="K30" s="160"/>
      <c r="O30" s="232"/>
    </row>
    <row r="31" spans="2:15" x14ac:dyDescent="0.25">
      <c r="B31" s="358" t="s">
        <v>66</v>
      </c>
      <c r="C31" s="359"/>
      <c r="D31" s="244">
        <f>+Forecast!E79</f>
        <v>31264.483950000002</v>
      </c>
      <c r="F31" s="163" t="s">
        <v>100</v>
      </c>
      <c r="G31" s="165">
        <v>0</v>
      </c>
      <c r="H31" s="165">
        <v>0</v>
      </c>
      <c r="I31" s="165">
        <v>0</v>
      </c>
      <c r="J31" s="165">
        <v>0</v>
      </c>
      <c r="K31" s="168"/>
      <c r="O31" s="232"/>
    </row>
    <row r="32" spans="2:15" x14ac:dyDescent="0.25">
      <c r="B32" s="358" t="s">
        <v>314</v>
      </c>
      <c r="C32" s="359"/>
      <c r="D32" s="244">
        <f>+Forecast!E80</f>
        <v>9231.5</v>
      </c>
      <c r="F32" s="158" t="s">
        <v>101</v>
      </c>
      <c r="G32" s="159">
        <v>0</v>
      </c>
      <c r="H32" s="159">
        <v>0</v>
      </c>
      <c r="I32" s="159">
        <v>0</v>
      </c>
      <c r="J32" s="159">
        <v>0</v>
      </c>
      <c r="K32" s="160"/>
      <c r="O32" s="232"/>
    </row>
    <row r="33" spans="2:15" x14ac:dyDescent="0.25">
      <c r="B33" s="358" t="s">
        <v>68</v>
      </c>
      <c r="C33" s="359"/>
      <c r="D33" s="244"/>
      <c r="F33" s="163" t="s">
        <v>102</v>
      </c>
      <c r="G33" s="165">
        <v>0</v>
      </c>
      <c r="H33" s="165">
        <v>0</v>
      </c>
      <c r="I33" s="165">
        <v>0</v>
      </c>
      <c r="J33" s="165">
        <v>0</v>
      </c>
      <c r="K33" s="168"/>
      <c r="O33" s="232"/>
    </row>
    <row r="34" spans="2:15" ht="29.5" thickBot="1" x14ac:dyDescent="0.3">
      <c r="B34" s="358" t="s">
        <v>69</v>
      </c>
      <c r="C34" s="359"/>
      <c r="D34" s="244">
        <f>+Forecast!E82</f>
        <v>121075.52</v>
      </c>
      <c r="F34" s="169" t="s">
        <v>103</v>
      </c>
      <c r="G34" s="171"/>
      <c r="H34" s="171"/>
      <c r="I34" s="171">
        <v>0</v>
      </c>
      <c r="J34" s="171">
        <f>+G34-H34</f>
        <v>0</v>
      </c>
      <c r="K34" s="172"/>
      <c r="O34" s="232"/>
    </row>
    <row r="35" spans="2:15" ht="16" thickBot="1" x14ac:dyDescent="0.3">
      <c r="B35" s="358" t="s">
        <v>315</v>
      </c>
      <c r="C35" s="359"/>
      <c r="D35" s="244">
        <f>+Forecast!E90</f>
        <v>63886.55</v>
      </c>
      <c r="F35" s="173"/>
      <c r="G35" s="175"/>
      <c r="H35" s="175"/>
      <c r="I35" s="175"/>
      <c r="J35" s="175"/>
      <c r="K35" s="176"/>
      <c r="O35" s="232"/>
    </row>
    <row r="36" spans="2:15" ht="16" thickBot="1" x14ac:dyDescent="0.3">
      <c r="B36" s="358" t="s">
        <v>70</v>
      </c>
      <c r="C36" s="359"/>
      <c r="D36" s="244">
        <f>+Forecast!E83</f>
        <v>15428.5</v>
      </c>
      <c r="F36" s="177" t="s">
        <v>79</v>
      </c>
      <c r="G36" s="179">
        <f>SUM(G28:G34)</f>
        <v>0</v>
      </c>
      <c r="H36" s="179">
        <f t="shared" ref="H36:J36" si="0">SUM(H28:H34)</f>
        <v>0</v>
      </c>
      <c r="I36" s="179">
        <f t="shared" si="0"/>
        <v>0</v>
      </c>
      <c r="J36" s="179">
        <f t="shared" si="0"/>
        <v>0</v>
      </c>
      <c r="K36" s="176"/>
      <c r="O36" s="232"/>
    </row>
    <row r="37" spans="2:15" x14ac:dyDescent="0.35">
      <c r="B37" s="358" t="s">
        <v>71</v>
      </c>
      <c r="C37" s="359"/>
      <c r="D37" s="244">
        <f>+Forecast!E84</f>
        <v>7829.68</v>
      </c>
      <c r="O37" s="232"/>
    </row>
    <row r="38" spans="2:15" x14ac:dyDescent="0.35">
      <c r="B38" s="358" t="s">
        <v>72</v>
      </c>
      <c r="C38" s="359"/>
      <c r="D38" s="244">
        <f>+Forecast!E85</f>
        <v>173096</v>
      </c>
      <c r="O38" s="232"/>
    </row>
    <row r="39" spans="2:15" x14ac:dyDescent="0.35">
      <c r="B39" s="242" t="s">
        <v>73</v>
      </c>
      <c r="C39" s="243"/>
      <c r="D39" s="244"/>
      <c r="O39" s="232"/>
    </row>
    <row r="40" spans="2:15" x14ac:dyDescent="0.25">
      <c r="B40" s="242" t="s">
        <v>74</v>
      </c>
      <c r="C40" s="243"/>
      <c r="D40" s="244"/>
      <c r="F40" s="105"/>
      <c r="O40" s="232"/>
    </row>
    <row r="41" spans="2:15" x14ac:dyDescent="0.25">
      <c r="B41" s="242" t="s">
        <v>75</v>
      </c>
      <c r="C41" s="243"/>
      <c r="D41" s="244">
        <f>+Forecast!E88</f>
        <v>15207.95</v>
      </c>
      <c r="F41" s="105"/>
      <c r="O41" s="232"/>
    </row>
    <row r="42" spans="2:15" x14ac:dyDescent="0.25">
      <c r="B42" s="242" t="s">
        <v>76</v>
      </c>
      <c r="C42" s="243"/>
      <c r="D42" s="244">
        <f>+Forecast!E89</f>
        <v>64076.5</v>
      </c>
      <c r="F42" s="105"/>
      <c r="O42" s="232"/>
    </row>
    <row r="43" spans="2:15" x14ac:dyDescent="0.25">
      <c r="B43" s="380" t="s">
        <v>77</v>
      </c>
      <c r="C43" s="381"/>
      <c r="D43" s="244"/>
      <c r="F43" s="107"/>
      <c r="O43" s="232"/>
    </row>
    <row r="44" spans="2:15" x14ac:dyDescent="0.25">
      <c r="B44" s="358" t="s">
        <v>78</v>
      </c>
      <c r="C44" s="359"/>
      <c r="D44" s="244">
        <f>+Forecast!E91</f>
        <v>14051.910000000003</v>
      </c>
      <c r="F44" s="107"/>
      <c r="O44" s="232"/>
    </row>
    <row r="45" spans="2:15" ht="16" thickBot="1" x14ac:dyDescent="0.3">
      <c r="B45" s="382" t="s">
        <v>79</v>
      </c>
      <c r="C45" s="383"/>
      <c r="D45" s="245">
        <f>SUM(D26:D44)</f>
        <v>669809.87395000004</v>
      </c>
      <c r="F45" s="107"/>
      <c r="O45" s="232"/>
    </row>
    <row r="46" spans="2:15" x14ac:dyDescent="0.25">
      <c r="B46" s="246"/>
      <c r="C46" s="247"/>
      <c r="D46" s="248"/>
      <c r="F46" s="107"/>
      <c r="O46" s="232"/>
    </row>
    <row r="47" spans="2:15" ht="16" thickBot="1" x14ac:dyDescent="0.3">
      <c r="B47" s="249"/>
      <c r="C47" s="250"/>
      <c r="D47" s="251"/>
      <c r="E47" s="252"/>
      <c r="F47" s="254"/>
      <c r="G47" s="252"/>
      <c r="H47" s="252"/>
      <c r="I47" s="252"/>
      <c r="J47" s="252"/>
      <c r="K47" s="252"/>
      <c r="L47" s="252"/>
      <c r="M47" s="252"/>
      <c r="N47" s="252"/>
      <c r="O47" s="253"/>
    </row>
    <row r="48" spans="2:15" ht="16" thickTop="1" x14ac:dyDescent="0.25">
      <c r="B48" s="384" t="s">
        <v>316</v>
      </c>
      <c r="C48" s="384"/>
      <c r="F48" s="107"/>
    </row>
    <row r="49" spans="2:8" x14ac:dyDescent="0.25">
      <c r="F49" s="107"/>
    </row>
    <row r="50" spans="2:8" x14ac:dyDescent="0.25">
      <c r="B50" s="230" t="s">
        <v>317</v>
      </c>
      <c r="C50" s="230" t="s">
        <v>323</v>
      </c>
      <c r="F50" s="105"/>
    </row>
    <row r="51" spans="2:8" x14ac:dyDescent="0.25">
      <c r="B51" s="230" t="s">
        <v>318</v>
      </c>
      <c r="F51" s="105"/>
    </row>
    <row r="52" spans="2:8" x14ac:dyDescent="0.25">
      <c r="B52" s="230" t="s">
        <v>319</v>
      </c>
      <c r="C52" s="230" t="s">
        <v>320</v>
      </c>
      <c r="F52" s="105"/>
    </row>
    <row r="53" spans="2:8" x14ac:dyDescent="0.25">
      <c r="F53" s="105"/>
    </row>
    <row r="54" spans="2:8" x14ac:dyDescent="0.35">
      <c r="B54" s="180" t="s">
        <v>104</v>
      </c>
      <c r="C54" s="180"/>
      <c r="D54" s="180"/>
      <c r="E54" s="180"/>
      <c r="F54" s="180"/>
      <c r="G54" s="180"/>
      <c r="H54" s="180"/>
    </row>
    <row r="55" spans="2:8" x14ac:dyDescent="0.35">
      <c r="B55" s="180" t="s">
        <v>105</v>
      </c>
      <c r="C55" s="180"/>
      <c r="D55" s="180"/>
      <c r="E55" s="180"/>
      <c r="F55" s="180"/>
      <c r="G55" s="180"/>
      <c r="H55" s="180"/>
    </row>
    <row r="56" spans="2:8" x14ac:dyDescent="0.35">
      <c r="B56" s="180" t="s">
        <v>106</v>
      </c>
      <c r="C56" s="180"/>
      <c r="D56" s="180"/>
      <c r="E56" s="180"/>
      <c r="F56" s="180"/>
      <c r="G56" s="180"/>
      <c r="H56" s="180"/>
    </row>
    <row r="57" spans="2:8" x14ac:dyDescent="0.35">
      <c r="B57" s="180" t="s">
        <v>107</v>
      </c>
      <c r="C57" s="180"/>
      <c r="D57" s="180"/>
      <c r="E57" s="180"/>
      <c r="F57" s="180"/>
      <c r="G57" s="180"/>
      <c r="H57" s="180"/>
    </row>
    <row r="58" spans="2:8" x14ac:dyDescent="0.35">
      <c r="B58" s="180" t="s">
        <v>108</v>
      </c>
      <c r="C58" s="180"/>
      <c r="D58" s="180"/>
      <c r="E58" s="180"/>
      <c r="F58" s="180"/>
      <c r="G58" s="180"/>
      <c r="H58" s="180"/>
    </row>
    <row r="59" spans="2:8" x14ac:dyDescent="0.35">
      <c r="B59" s="180"/>
      <c r="C59" s="180"/>
      <c r="D59" s="180"/>
      <c r="E59" s="180"/>
      <c r="F59" s="180"/>
      <c r="G59" s="180"/>
      <c r="H59" s="180"/>
    </row>
    <row r="60" spans="2:8" x14ac:dyDescent="0.35">
      <c r="B60" s="180" t="s">
        <v>109</v>
      </c>
      <c r="C60" s="180"/>
      <c r="D60" s="180"/>
      <c r="E60" s="180"/>
      <c r="F60" s="180"/>
      <c r="G60" s="180"/>
      <c r="H60" s="180"/>
    </row>
    <row r="61" spans="2:8" x14ac:dyDescent="0.35">
      <c r="B61" s="180" t="s">
        <v>110</v>
      </c>
      <c r="C61" s="180"/>
      <c r="D61" s="180"/>
      <c r="E61" s="180"/>
      <c r="F61" s="180"/>
      <c r="G61" s="180"/>
      <c r="H61" s="180"/>
    </row>
    <row r="62" spans="2:8" x14ac:dyDescent="0.35">
      <c r="B62" s="180" t="s">
        <v>111</v>
      </c>
      <c r="C62" s="180"/>
      <c r="D62" s="180"/>
      <c r="E62" s="180"/>
      <c r="F62" s="180"/>
      <c r="G62" s="180"/>
      <c r="H62" s="180"/>
    </row>
    <row r="63" spans="2:8" x14ac:dyDescent="0.35">
      <c r="B63" s="180" t="s">
        <v>302</v>
      </c>
      <c r="C63" s="180"/>
      <c r="D63" s="180"/>
      <c r="E63" s="180"/>
      <c r="F63" s="180"/>
      <c r="G63" s="180"/>
      <c r="H63" s="180"/>
    </row>
    <row r="64" spans="2:8" x14ac:dyDescent="0.35">
      <c r="B64" s="180"/>
      <c r="C64" s="180"/>
      <c r="D64" s="180"/>
      <c r="E64" s="180"/>
      <c r="F64" s="180"/>
      <c r="G64" s="180"/>
      <c r="H64" s="180"/>
    </row>
    <row r="65" spans="2:8" x14ac:dyDescent="0.35">
      <c r="B65" s="180" t="s">
        <v>60</v>
      </c>
      <c r="C65" s="180"/>
      <c r="D65" s="180"/>
      <c r="E65" s="180"/>
      <c r="F65" s="180"/>
      <c r="G65" s="180"/>
      <c r="H65" s="180"/>
    </row>
    <row r="66" spans="2:8" x14ac:dyDescent="0.35">
      <c r="B66" s="180" t="s">
        <v>112</v>
      </c>
      <c r="C66" s="180"/>
      <c r="D66" s="180"/>
      <c r="E66" s="180"/>
      <c r="F66" s="180"/>
      <c r="G66" s="180"/>
      <c r="H66" s="180"/>
    </row>
    <row r="67" spans="2:8" x14ac:dyDescent="0.35">
      <c r="B67" s="180" t="s">
        <v>113</v>
      </c>
      <c r="C67" s="180"/>
      <c r="D67" s="180"/>
      <c r="E67" s="180"/>
      <c r="F67" s="180"/>
      <c r="G67" s="180"/>
      <c r="H67" s="180"/>
    </row>
    <row r="68" spans="2:8" x14ac:dyDescent="0.35">
      <c r="B68" s="180"/>
      <c r="C68" s="180"/>
      <c r="D68" s="180"/>
      <c r="E68" s="180"/>
      <c r="F68" s="180"/>
      <c r="G68" s="180"/>
      <c r="H68" s="180"/>
    </row>
    <row r="69" spans="2:8" x14ac:dyDescent="0.35">
      <c r="B69" s="180" t="s">
        <v>114</v>
      </c>
      <c r="C69" s="180"/>
      <c r="D69" s="180"/>
      <c r="E69" s="180"/>
      <c r="F69" s="180"/>
      <c r="G69" s="180"/>
      <c r="H69" s="180"/>
    </row>
    <row r="70" spans="2:8" x14ac:dyDescent="0.35">
      <c r="B70" s="180" t="s">
        <v>115</v>
      </c>
      <c r="C70" s="180"/>
      <c r="D70" s="180"/>
      <c r="E70" s="180"/>
      <c r="F70" s="180"/>
      <c r="G70" s="180"/>
      <c r="H70" s="180"/>
    </row>
    <row r="71" spans="2:8" x14ac:dyDescent="0.35">
      <c r="B71" s="180" t="s">
        <v>116</v>
      </c>
      <c r="C71" s="180"/>
      <c r="D71" s="180"/>
      <c r="E71" s="180"/>
      <c r="F71" s="180"/>
      <c r="G71" s="180"/>
      <c r="H71" s="180"/>
    </row>
    <row r="72" spans="2:8" x14ac:dyDescent="0.35">
      <c r="B72" s="180" t="s">
        <v>117</v>
      </c>
      <c r="C72" s="180"/>
      <c r="D72" s="180"/>
      <c r="E72" s="180"/>
      <c r="F72" s="180"/>
      <c r="G72" s="180"/>
      <c r="H72" s="180"/>
    </row>
    <row r="73" spans="2:8" x14ac:dyDescent="0.35">
      <c r="B73" s="180" t="s">
        <v>118</v>
      </c>
      <c r="C73" s="180"/>
      <c r="D73" s="180"/>
      <c r="E73" s="180"/>
      <c r="F73" s="180"/>
      <c r="G73" s="180"/>
      <c r="H73" s="180"/>
    </row>
    <row r="74" spans="2:8" x14ac:dyDescent="0.35">
      <c r="B74" s="180"/>
      <c r="C74" s="180"/>
      <c r="D74" s="180"/>
      <c r="E74" s="180"/>
      <c r="F74" s="180"/>
      <c r="G74" s="180"/>
      <c r="H74" s="180"/>
    </row>
    <row r="75" spans="2:8" x14ac:dyDescent="0.35">
      <c r="B75" s="180" t="s">
        <v>119</v>
      </c>
      <c r="C75" s="180"/>
      <c r="D75" s="180"/>
      <c r="E75" s="180"/>
      <c r="F75" s="180"/>
      <c r="G75" s="180"/>
      <c r="H75" s="180"/>
    </row>
    <row r="76" spans="2:8" x14ac:dyDescent="0.35">
      <c r="B76" s="180" t="s">
        <v>120</v>
      </c>
      <c r="C76" s="180"/>
      <c r="D76" s="180"/>
      <c r="E76" s="180"/>
      <c r="F76" s="180"/>
      <c r="G76" s="180"/>
      <c r="H76" s="180"/>
    </row>
    <row r="77" spans="2:8" x14ac:dyDescent="0.35">
      <c r="B77" s="180"/>
      <c r="C77" s="180"/>
      <c r="D77" s="180"/>
      <c r="E77" s="180"/>
      <c r="F77" s="180"/>
      <c r="G77" s="180"/>
      <c r="H77" s="180"/>
    </row>
    <row r="78" spans="2:8" x14ac:dyDescent="0.35">
      <c r="B78" s="180" t="s">
        <v>121</v>
      </c>
      <c r="C78" s="180"/>
      <c r="D78" s="180"/>
      <c r="E78" s="180"/>
      <c r="F78" s="180"/>
      <c r="G78" s="180"/>
      <c r="H78" s="180"/>
    </row>
    <row r="79" spans="2:8" x14ac:dyDescent="0.35">
      <c r="B79" s="180" t="s">
        <v>122</v>
      </c>
      <c r="C79" s="180"/>
      <c r="D79" s="180"/>
      <c r="E79" s="180"/>
      <c r="F79" s="180"/>
      <c r="G79" s="180"/>
      <c r="H79" s="180"/>
    </row>
    <row r="80" spans="2:8" x14ac:dyDescent="0.35">
      <c r="B80" s="180" t="s">
        <v>123</v>
      </c>
      <c r="C80" s="180"/>
      <c r="D80" s="180"/>
      <c r="E80" s="180"/>
      <c r="F80" s="180"/>
      <c r="G80" s="180"/>
      <c r="H80" s="180"/>
    </row>
    <row r="81" spans="2:8" x14ac:dyDescent="0.35">
      <c r="B81" s="180" t="s">
        <v>124</v>
      </c>
      <c r="C81" s="180"/>
      <c r="D81" s="180"/>
      <c r="E81" s="180"/>
      <c r="F81" s="180"/>
      <c r="G81" s="180"/>
      <c r="H81" s="180"/>
    </row>
    <row r="82" spans="2:8" x14ac:dyDescent="0.35">
      <c r="B82" s="180"/>
      <c r="C82" s="180"/>
      <c r="D82" s="180"/>
      <c r="E82" s="180"/>
      <c r="F82" s="180"/>
      <c r="G82" s="180"/>
      <c r="H82" s="180"/>
    </row>
    <row r="83" spans="2:8" x14ac:dyDescent="0.35">
      <c r="B83" s="180"/>
      <c r="C83" s="180"/>
      <c r="D83" s="180"/>
      <c r="E83" s="180"/>
      <c r="F83" s="180"/>
      <c r="G83" s="180"/>
      <c r="H83" s="180"/>
    </row>
    <row r="84" spans="2:8" x14ac:dyDescent="0.35">
      <c r="B84" s="180" t="s">
        <v>125</v>
      </c>
      <c r="C84" s="180"/>
      <c r="D84" s="180"/>
      <c r="E84" s="180"/>
      <c r="F84" s="180"/>
      <c r="G84" s="180"/>
      <c r="H84" s="180"/>
    </row>
    <row r="85" spans="2:8" x14ac:dyDescent="0.35">
      <c r="B85" s="180" t="s">
        <v>126</v>
      </c>
      <c r="C85" s="180"/>
      <c r="D85" s="180"/>
      <c r="E85" s="180"/>
      <c r="F85" s="180"/>
      <c r="G85" s="180"/>
      <c r="H85" s="180"/>
    </row>
    <row r="86" spans="2:8" x14ac:dyDescent="0.35">
      <c r="B86" s="180"/>
      <c r="C86" s="180"/>
      <c r="D86" s="180"/>
      <c r="E86" s="180"/>
      <c r="F86" s="180"/>
      <c r="G86" s="180"/>
      <c r="H86" s="180"/>
    </row>
    <row r="87" spans="2:8" x14ac:dyDescent="0.35">
      <c r="B87" s="180" t="s">
        <v>127</v>
      </c>
      <c r="C87" s="180"/>
      <c r="D87" s="180"/>
      <c r="E87" s="180"/>
      <c r="F87" s="180"/>
      <c r="G87" s="180"/>
      <c r="H87" s="180"/>
    </row>
    <row r="88" spans="2:8" x14ac:dyDescent="0.35">
      <c r="B88" s="180" t="s">
        <v>123</v>
      </c>
      <c r="C88" s="180"/>
      <c r="D88" s="180"/>
      <c r="E88" s="180"/>
      <c r="F88" s="180"/>
      <c r="G88" s="180"/>
      <c r="H88" s="180"/>
    </row>
    <row r="89" spans="2:8" x14ac:dyDescent="0.35">
      <c r="B89" s="180" t="s">
        <v>128</v>
      </c>
      <c r="C89" s="180"/>
      <c r="D89" s="180"/>
      <c r="E89" s="180"/>
      <c r="F89" s="180"/>
      <c r="G89" s="180"/>
      <c r="H89" s="180"/>
    </row>
    <row r="90" spans="2:8" x14ac:dyDescent="0.35">
      <c r="B90" s="180"/>
      <c r="C90" s="180"/>
      <c r="D90" s="180"/>
      <c r="E90" s="180"/>
      <c r="F90" s="180"/>
      <c r="G90" s="180"/>
      <c r="H90" s="180"/>
    </row>
    <row r="91" spans="2:8" x14ac:dyDescent="0.35">
      <c r="B91" s="180" t="s">
        <v>129</v>
      </c>
      <c r="C91" s="180"/>
      <c r="D91" s="180"/>
      <c r="E91" s="180"/>
      <c r="F91" s="180"/>
      <c r="G91" s="180"/>
      <c r="H91" s="180"/>
    </row>
    <row r="92" spans="2:8" x14ac:dyDescent="0.35">
      <c r="B92" s="180"/>
      <c r="C92" s="180"/>
      <c r="D92" s="180"/>
      <c r="E92" s="180"/>
      <c r="F92" s="180"/>
      <c r="G92" s="180"/>
      <c r="H92" s="180"/>
    </row>
    <row r="93" spans="2:8" x14ac:dyDescent="0.35">
      <c r="B93" s="180" t="s">
        <v>130</v>
      </c>
      <c r="C93" s="180"/>
      <c r="D93" s="180"/>
      <c r="E93" s="180"/>
      <c r="F93" s="180"/>
      <c r="G93" s="180"/>
      <c r="H93" s="180"/>
    </row>
    <row r="94" spans="2:8" x14ac:dyDescent="0.35">
      <c r="B94" s="180" t="s">
        <v>131</v>
      </c>
      <c r="C94" s="180"/>
      <c r="D94" s="180"/>
      <c r="E94" s="180"/>
      <c r="F94" s="180"/>
      <c r="G94" s="180"/>
      <c r="H94" s="180"/>
    </row>
    <row r="95" spans="2:8" x14ac:dyDescent="0.35">
      <c r="B95" s="180"/>
      <c r="C95" s="180"/>
      <c r="D95" s="180"/>
      <c r="E95" s="180"/>
      <c r="F95" s="180"/>
      <c r="G95" s="180"/>
      <c r="H95" s="180"/>
    </row>
    <row r="96" spans="2:8" x14ac:dyDescent="0.35">
      <c r="B96" s="180" t="s">
        <v>132</v>
      </c>
      <c r="C96" s="180"/>
      <c r="D96" s="180"/>
      <c r="E96" s="180"/>
      <c r="F96" s="180"/>
      <c r="G96" s="180"/>
      <c r="H96" s="180"/>
    </row>
    <row r="97" spans="2:8" x14ac:dyDescent="0.35">
      <c r="B97" s="180" t="s">
        <v>133</v>
      </c>
      <c r="C97" s="180"/>
      <c r="D97" s="180"/>
      <c r="E97" s="180"/>
      <c r="F97" s="180"/>
      <c r="G97" s="180"/>
      <c r="H97" s="180"/>
    </row>
    <row r="98" spans="2:8" x14ac:dyDescent="0.35">
      <c r="B98" s="180"/>
      <c r="C98" s="180"/>
      <c r="D98" s="180"/>
      <c r="E98" s="180"/>
      <c r="F98" s="180"/>
      <c r="G98" s="180"/>
      <c r="H98" s="180"/>
    </row>
    <row r="99" spans="2:8" x14ac:dyDescent="0.35">
      <c r="B99" s="180" t="s">
        <v>134</v>
      </c>
      <c r="C99" s="180"/>
      <c r="D99" s="180"/>
      <c r="E99" s="180"/>
      <c r="F99" s="180"/>
      <c r="G99" s="180"/>
      <c r="H99" s="180"/>
    </row>
    <row r="100" spans="2:8" x14ac:dyDescent="0.35">
      <c r="B100" s="180" t="s">
        <v>135</v>
      </c>
      <c r="C100" s="180"/>
      <c r="D100" s="180"/>
      <c r="E100" s="180"/>
      <c r="F100" s="180"/>
      <c r="G100" s="180"/>
      <c r="H100" s="180"/>
    </row>
    <row r="101" spans="2:8" x14ac:dyDescent="0.35">
      <c r="B101" s="180"/>
      <c r="C101" s="180"/>
      <c r="D101" s="180"/>
      <c r="E101" s="180"/>
      <c r="F101" s="180"/>
      <c r="G101" s="180"/>
      <c r="H101" s="180"/>
    </row>
    <row r="102" spans="2:8" x14ac:dyDescent="0.35">
      <c r="B102" s="180" t="s">
        <v>136</v>
      </c>
      <c r="C102" s="180"/>
      <c r="D102" s="180"/>
      <c r="E102" s="180"/>
      <c r="F102" s="180"/>
      <c r="G102" s="180"/>
      <c r="H102" s="180"/>
    </row>
    <row r="103" spans="2:8" x14ac:dyDescent="0.35">
      <c r="B103" s="180"/>
      <c r="C103" s="180"/>
      <c r="D103" s="180"/>
      <c r="E103" s="180"/>
      <c r="F103" s="180"/>
      <c r="G103" s="180"/>
      <c r="H103" s="180"/>
    </row>
    <row r="104" spans="2:8" x14ac:dyDescent="0.35">
      <c r="B104" s="180" t="s">
        <v>137</v>
      </c>
      <c r="C104" s="180"/>
      <c r="D104" s="180"/>
      <c r="E104" s="180"/>
      <c r="F104" s="180"/>
      <c r="G104" s="180"/>
      <c r="H104" s="180"/>
    </row>
    <row r="105" spans="2:8" x14ac:dyDescent="0.35">
      <c r="B105" s="180" t="s">
        <v>138</v>
      </c>
      <c r="C105" s="180"/>
      <c r="D105" s="180"/>
      <c r="E105" s="180"/>
      <c r="F105" s="180"/>
      <c r="G105" s="180"/>
      <c r="H105" s="180"/>
    </row>
    <row r="106" spans="2:8" x14ac:dyDescent="0.35">
      <c r="B106" s="180"/>
      <c r="C106" s="180"/>
      <c r="D106" s="180"/>
      <c r="E106" s="180"/>
      <c r="F106" s="180"/>
      <c r="G106" s="180"/>
      <c r="H106" s="180"/>
    </row>
    <row r="107" spans="2:8" x14ac:dyDescent="0.35">
      <c r="B107" s="180" t="s">
        <v>139</v>
      </c>
      <c r="C107" s="180"/>
      <c r="D107" s="180"/>
      <c r="E107" s="180"/>
      <c r="F107" s="180"/>
      <c r="G107" s="180"/>
      <c r="H107" s="180"/>
    </row>
    <row r="108" spans="2:8" x14ac:dyDescent="0.35">
      <c r="B108" s="180"/>
      <c r="C108" s="180"/>
      <c r="D108" s="180"/>
      <c r="E108" s="180"/>
      <c r="F108" s="180"/>
      <c r="G108" s="180"/>
      <c r="H108" s="180"/>
    </row>
    <row r="109" spans="2:8" x14ac:dyDescent="0.35">
      <c r="B109" s="180"/>
      <c r="C109" s="180"/>
      <c r="D109" s="180"/>
      <c r="E109" s="180"/>
      <c r="F109" s="180"/>
      <c r="G109" s="180"/>
      <c r="H109" s="180"/>
    </row>
    <row r="110" spans="2:8" x14ac:dyDescent="0.35">
      <c r="B110" s="180" t="s">
        <v>140</v>
      </c>
      <c r="C110" s="180"/>
      <c r="D110" s="180"/>
      <c r="E110" s="180"/>
      <c r="F110" s="180"/>
      <c r="G110" s="180"/>
      <c r="H110" s="180"/>
    </row>
    <row r="111" spans="2:8" x14ac:dyDescent="0.35">
      <c r="B111" s="180" t="s">
        <v>141</v>
      </c>
      <c r="C111" s="180"/>
      <c r="D111" s="180"/>
      <c r="E111" s="180"/>
      <c r="F111" s="180"/>
      <c r="G111" s="180"/>
      <c r="H111" s="180"/>
    </row>
    <row r="112" spans="2:8" x14ac:dyDescent="0.35">
      <c r="B112" s="180"/>
      <c r="C112" s="180"/>
      <c r="D112" s="180"/>
      <c r="E112" s="180"/>
      <c r="F112" s="180"/>
      <c r="G112" s="180"/>
      <c r="H112" s="180"/>
    </row>
    <row r="113" spans="2:8" x14ac:dyDescent="0.35">
      <c r="B113" s="180" t="s">
        <v>142</v>
      </c>
      <c r="C113" s="180"/>
      <c r="D113" s="180"/>
      <c r="E113" s="180"/>
      <c r="F113" s="180"/>
      <c r="G113" s="180"/>
      <c r="H113" s="180"/>
    </row>
    <row r="114" spans="2:8" x14ac:dyDescent="0.35">
      <c r="B114" s="180" t="s">
        <v>143</v>
      </c>
      <c r="C114" s="180"/>
      <c r="D114" s="180"/>
      <c r="E114" s="180"/>
      <c r="F114" s="180"/>
      <c r="G114" s="180"/>
      <c r="H114" s="180"/>
    </row>
    <row r="115" spans="2:8" x14ac:dyDescent="0.35">
      <c r="B115" s="180"/>
      <c r="C115" s="180"/>
      <c r="D115" s="180"/>
      <c r="E115" s="180"/>
      <c r="F115" s="180"/>
      <c r="G115" s="180"/>
      <c r="H115" s="180"/>
    </row>
    <row r="116" spans="2:8" x14ac:dyDescent="0.35">
      <c r="B116" s="180" t="s">
        <v>144</v>
      </c>
      <c r="C116" s="180"/>
      <c r="D116" s="180"/>
      <c r="E116" s="180"/>
      <c r="F116" s="180"/>
      <c r="G116" s="180"/>
      <c r="H116" s="180"/>
    </row>
  </sheetData>
  <mergeCells count="24">
    <mergeCell ref="B43:C43"/>
    <mergeCell ref="B44:C44"/>
    <mergeCell ref="B45:C45"/>
    <mergeCell ref="B48:C48"/>
    <mergeCell ref="B33:C33"/>
    <mergeCell ref="B34:C34"/>
    <mergeCell ref="B35:C35"/>
    <mergeCell ref="B36:C36"/>
    <mergeCell ref="B37:C37"/>
    <mergeCell ref="B38:C38"/>
    <mergeCell ref="B32:C32"/>
    <mergeCell ref="B2:O2"/>
    <mergeCell ref="B5:O5"/>
    <mergeCell ref="B10:O10"/>
    <mergeCell ref="B15:O15"/>
    <mergeCell ref="B20:O20"/>
    <mergeCell ref="B25:D25"/>
    <mergeCell ref="F25:K26"/>
    <mergeCell ref="B26:C26"/>
    <mergeCell ref="B27:C27"/>
    <mergeCell ref="B28:C28"/>
    <mergeCell ref="B29:C29"/>
    <mergeCell ref="B30:C30"/>
    <mergeCell ref="B31:C31"/>
  </mergeCells>
  <pageMargins left="0.25" right="0.25" top="0.75" bottom="0.75" header="0.3" footer="0.3"/>
  <pageSetup scale="50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29D04-D2C8-4E90-8687-E92267143D23}">
  <dimension ref="A1:AK116"/>
  <sheetViews>
    <sheetView topLeftCell="A40" workbookViewId="0">
      <selection activeCell="H36" sqref="H1:AE1048576"/>
    </sheetView>
  </sheetViews>
  <sheetFormatPr defaultRowHeight="13" x14ac:dyDescent="0.3"/>
  <cols>
    <col min="1" max="1" width="4.08984375" style="184" customWidth="1"/>
    <col min="2" max="4" width="8.7265625" style="184" hidden="1" customWidth="1"/>
    <col min="5" max="6" width="8.7265625" style="184"/>
    <col min="7" max="7" width="29.81640625" style="184" bestFit="1" customWidth="1"/>
    <col min="8" max="8" width="9.90625" style="184" hidden="1" customWidth="1"/>
    <col min="9" max="9" width="8.7265625" style="184" hidden="1" customWidth="1"/>
    <col min="10" max="10" width="9.90625" style="184" hidden="1" customWidth="1"/>
    <col min="11" max="11" width="8.7265625" style="184" hidden="1" customWidth="1"/>
    <col min="12" max="12" width="11.26953125" style="184" hidden="1" customWidth="1"/>
    <col min="13" max="13" width="8.7265625" style="184" hidden="1" customWidth="1"/>
    <col min="14" max="14" width="9.90625" style="184" hidden="1" customWidth="1"/>
    <col min="15" max="15" width="8.7265625" style="184" hidden="1" customWidth="1"/>
    <col min="16" max="16" width="9.90625" style="184" hidden="1" customWidth="1"/>
    <col min="17" max="17" width="8.7265625" style="184" hidden="1" customWidth="1"/>
    <col min="18" max="18" width="9.90625" style="184" hidden="1" customWidth="1"/>
    <col min="19" max="19" width="8.7265625" style="184" hidden="1" customWidth="1"/>
    <col min="20" max="20" width="9.90625" style="184" hidden="1" customWidth="1"/>
    <col min="21" max="21" width="8.7265625" style="184" hidden="1" customWidth="1"/>
    <col min="22" max="22" width="9.90625" style="184" hidden="1" customWidth="1"/>
    <col min="23" max="23" width="8.7265625" style="184" hidden="1" customWidth="1"/>
    <col min="24" max="24" width="9.90625" style="184" hidden="1" customWidth="1"/>
    <col min="25" max="25" width="8.7265625" style="184" hidden="1" customWidth="1"/>
    <col min="26" max="26" width="9.90625" style="184" hidden="1" customWidth="1"/>
    <col min="27" max="27" width="8.7265625" style="184" hidden="1" customWidth="1"/>
    <col min="28" max="28" width="9.90625" style="184" hidden="1" customWidth="1"/>
    <col min="29" max="29" width="8.7265625" style="184" hidden="1" customWidth="1"/>
    <col min="30" max="30" width="9.90625" style="184" hidden="1" customWidth="1"/>
    <col min="31" max="31" width="0" style="184" hidden="1" customWidth="1"/>
    <col min="32" max="32" width="11.453125" style="184" bestFit="1" customWidth="1"/>
    <col min="33" max="33" width="8.7265625" style="184"/>
    <col min="34" max="34" width="56.1796875" style="184" bestFit="1" customWidth="1"/>
    <col min="35" max="35" width="8.7265625" style="184"/>
    <col min="36" max="36" width="16.90625" style="184" bestFit="1" customWidth="1"/>
    <col min="37" max="39" width="8.7265625" style="184"/>
    <col min="40" max="40" width="23.1796875" style="184" customWidth="1"/>
    <col min="41" max="16384" width="8.7265625" style="184"/>
  </cols>
  <sheetData>
    <row r="1" spans="1:34" ht="13.5" thickBot="1" x14ac:dyDescent="0.35">
      <c r="A1" s="181"/>
      <c r="B1" s="181"/>
      <c r="C1" s="181"/>
      <c r="D1" s="181"/>
      <c r="E1" s="181"/>
      <c r="F1" s="181"/>
      <c r="G1" s="181"/>
      <c r="H1" s="182" t="s">
        <v>145</v>
      </c>
      <c r="I1" s="183"/>
      <c r="J1" s="182" t="s">
        <v>146</v>
      </c>
      <c r="K1" s="183"/>
      <c r="L1" s="182" t="s">
        <v>147</v>
      </c>
      <c r="M1" s="183"/>
      <c r="N1" s="182" t="s">
        <v>148</v>
      </c>
      <c r="O1" s="183"/>
      <c r="P1" s="182" t="s">
        <v>149</v>
      </c>
      <c r="Q1" s="183"/>
      <c r="R1" s="182" t="s">
        <v>150</v>
      </c>
      <c r="S1" s="183"/>
      <c r="T1" s="182" t="s">
        <v>151</v>
      </c>
      <c r="U1" s="183"/>
      <c r="V1" s="182" t="s">
        <v>152</v>
      </c>
      <c r="W1" s="183"/>
      <c r="X1" s="182" t="s">
        <v>153</v>
      </c>
      <c r="Y1" s="183"/>
      <c r="Z1" s="182" t="s">
        <v>154</v>
      </c>
      <c r="AA1" s="183"/>
      <c r="AB1" s="182" t="s">
        <v>155</v>
      </c>
      <c r="AC1" s="183"/>
      <c r="AD1" s="182" t="s">
        <v>156</v>
      </c>
      <c r="AE1" s="183"/>
      <c r="AF1" s="182" t="s">
        <v>157</v>
      </c>
    </row>
    <row r="2" spans="1:34" ht="13.5" thickTop="1" x14ac:dyDescent="0.3">
      <c r="A2" s="185"/>
      <c r="B2" s="185" t="s">
        <v>158</v>
      </c>
      <c r="C2" s="185"/>
      <c r="D2" s="185"/>
      <c r="E2" s="185"/>
      <c r="F2" s="185"/>
      <c r="G2" s="185"/>
      <c r="H2" s="186"/>
      <c r="I2" s="187"/>
      <c r="J2" s="186"/>
      <c r="K2" s="187"/>
      <c r="L2" s="186"/>
      <c r="M2" s="187"/>
      <c r="N2" s="186"/>
      <c r="O2" s="187"/>
      <c r="P2" s="186"/>
      <c r="Q2" s="187"/>
      <c r="R2" s="186"/>
      <c r="S2" s="187"/>
      <c r="T2" s="186"/>
      <c r="U2" s="187"/>
      <c r="V2" s="186"/>
      <c r="W2" s="187"/>
      <c r="X2" s="186"/>
      <c r="Y2" s="187"/>
      <c r="Z2" s="186"/>
      <c r="AA2" s="187"/>
      <c r="AB2" s="186"/>
      <c r="AC2" s="187"/>
      <c r="AD2" s="186"/>
      <c r="AE2" s="187"/>
      <c r="AF2" s="186"/>
    </row>
    <row r="3" spans="1:34" x14ac:dyDescent="0.3">
      <c r="A3" s="185"/>
      <c r="B3" s="185"/>
      <c r="C3" s="185"/>
      <c r="D3" s="185" t="s">
        <v>159</v>
      </c>
      <c r="E3" s="185"/>
      <c r="F3" s="185"/>
      <c r="G3" s="185"/>
      <c r="H3" s="186"/>
      <c r="I3" s="187"/>
      <c r="J3" s="186"/>
      <c r="K3" s="187"/>
      <c r="L3" s="186"/>
      <c r="M3" s="187"/>
      <c r="N3" s="186"/>
      <c r="O3" s="187"/>
      <c r="P3" s="186"/>
      <c r="Q3" s="187"/>
      <c r="R3" s="186"/>
      <c r="S3" s="187"/>
      <c r="T3" s="186"/>
      <c r="U3" s="187"/>
      <c r="V3" s="186"/>
      <c r="W3" s="187"/>
      <c r="X3" s="186"/>
      <c r="Y3" s="187"/>
      <c r="Z3" s="186"/>
      <c r="AA3" s="187"/>
      <c r="AB3" s="186"/>
      <c r="AC3" s="187"/>
      <c r="AD3" s="186"/>
      <c r="AE3" s="187"/>
      <c r="AF3" s="186"/>
    </row>
    <row r="4" spans="1:34" x14ac:dyDescent="0.3">
      <c r="A4" s="185"/>
      <c r="B4" s="185"/>
      <c r="C4" s="185"/>
      <c r="D4" s="185"/>
      <c r="E4" s="185" t="s">
        <v>160</v>
      </c>
      <c r="F4" s="185"/>
      <c r="G4" s="185"/>
      <c r="H4" s="186"/>
      <c r="I4" s="187"/>
      <c r="J4" s="186"/>
      <c r="K4" s="187"/>
      <c r="L4" s="186"/>
      <c r="M4" s="187"/>
      <c r="N4" s="186"/>
      <c r="O4" s="187"/>
      <c r="P4" s="186"/>
      <c r="Q4" s="187"/>
      <c r="R4" s="186"/>
      <c r="S4" s="187"/>
      <c r="T4" s="186"/>
      <c r="U4" s="187"/>
      <c r="V4" s="186"/>
      <c r="W4" s="187"/>
      <c r="X4" s="186"/>
      <c r="Y4" s="187"/>
      <c r="Z4" s="186"/>
      <c r="AA4" s="187"/>
      <c r="AB4" s="186"/>
      <c r="AC4" s="187"/>
      <c r="AD4" s="186"/>
      <c r="AE4" s="187"/>
      <c r="AF4" s="186"/>
    </row>
    <row r="5" spans="1:34" ht="13.5" thickBot="1" x14ac:dyDescent="0.35">
      <c r="A5" s="185"/>
      <c r="B5" s="185"/>
      <c r="C5" s="185"/>
      <c r="D5" s="185"/>
      <c r="E5" s="185"/>
      <c r="F5" s="185" t="s">
        <v>161</v>
      </c>
      <c r="G5" s="185"/>
      <c r="H5" s="188">
        <v>0</v>
      </c>
      <c r="I5" s="187"/>
      <c r="J5" s="188">
        <v>354.58</v>
      </c>
      <c r="K5" s="187"/>
      <c r="L5" s="188">
        <v>300</v>
      </c>
      <c r="M5" s="187"/>
      <c r="N5" s="188">
        <v>0</v>
      </c>
      <c r="O5" s="187"/>
      <c r="P5" s="188">
        <v>0</v>
      </c>
      <c r="Q5" s="187"/>
      <c r="R5" s="188">
        <v>0</v>
      </c>
      <c r="S5" s="187"/>
      <c r="T5" s="188">
        <v>0</v>
      </c>
      <c r="U5" s="187"/>
      <c r="V5" s="188">
        <v>0</v>
      </c>
      <c r="W5" s="187"/>
      <c r="X5" s="188">
        <v>0</v>
      </c>
      <c r="Y5" s="187"/>
      <c r="Z5" s="188">
        <v>0</v>
      </c>
      <c r="AA5" s="187"/>
      <c r="AB5" s="188">
        <v>0</v>
      </c>
      <c r="AC5" s="187"/>
      <c r="AD5" s="188">
        <v>0</v>
      </c>
      <c r="AE5" s="187"/>
      <c r="AF5" s="188">
        <f>SUM(H5:AE5)</f>
        <v>654.57999999999993</v>
      </c>
    </row>
    <row r="6" spans="1:34" x14ac:dyDescent="0.3">
      <c r="A6" s="185"/>
      <c r="B6" s="185"/>
      <c r="C6" s="185"/>
      <c r="D6" s="185"/>
      <c r="E6" s="185" t="s">
        <v>162</v>
      </c>
      <c r="F6" s="185"/>
      <c r="G6" s="185"/>
      <c r="H6" s="186">
        <v>0</v>
      </c>
      <c r="I6" s="187"/>
      <c r="J6" s="186">
        <v>354.58</v>
      </c>
      <c r="K6" s="187"/>
      <c r="L6" s="186">
        <f>SUM(L5)</f>
        <v>300</v>
      </c>
      <c r="M6" s="187"/>
      <c r="N6" s="186">
        <v>0</v>
      </c>
      <c r="O6" s="187"/>
      <c r="P6" s="186">
        <v>0</v>
      </c>
      <c r="Q6" s="187"/>
      <c r="R6" s="186">
        <v>0</v>
      </c>
      <c r="S6" s="187"/>
      <c r="T6" s="186">
        <v>0</v>
      </c>
      <c r="U6" s="187"/>
      <c r="V6" s="186">
        <v>0</v>
      </c>
      <c r="W6" s="187"/>
      <c r="X6" s="186">
        <v>0</v>
      </c>
      <c r="Y6" s="187"/>
      <c r="Z6" s="186">
        <v>0</v>
      </c>
      <c r="AA6" s="187"/>
      <c r="AB6" s="186">
        <v>0</v>
      </c>
      <c r="AC6" s="187"/>
      <c r="AD6" s="186">
        <v>0</v>
      </c>
      <c r="AE6" s="187"/>
      <c r="AF6" s="186">
        <f>+AF5</f>
        <v>654.57999999999993</v>
      </c>
    </row>
    <row r="7" spans="1:34" x14ac:dyDescent="0.3">
      <c r="A7" s="185"/>
      <c r="B7" s="185"/>
      <c r="C7" s="185"/>
      <c r="D7" s="185"/>
      <c r="E7" s="185" t="s">
        <v>163</v>
      </c>
      <c r="F7" s="185"/>
      <c r="G7" s="185"/>
      <c r="H7" s="186"/>
      <c r="I7" s="187"/>
      <c r="J7" s="186"/>
      <c r="K7" s="187"/>
      <c r="L7" s="186"/>
      <c r="M7" s="187"/>
      <c r="N7" s="186"/>
      <c r="O7" s="187"/>
      <c r="P7" s="186"/>
      <c r="Q7" s="187"/>
      <c r="R7" s="186"/>
      <c r="S7" s="187"/>
      <c r="T7" s="186"/>
      <c r="U7" s="187"/>
      <c r="V7" s="186"/>
      <c r="W7" s="187"/>
      <c r="X7" s="186"/>
      <c r="Y7" s="187"/>
      <c r="Z7" s="186"/>
      <c r="AA7" s="187"/>
      <c r="AB7" s="186"/>
      <c r="AC7" s="187"/>
      <c r="AD7" s="186"/>
      <c r="AE7" s="187"/>
      <c r="AF7" s="186"/>
    </row>
    <row r="8" spans="1:34" ht="13.5" thickBot="1" x14ac:dyDescent="0.35">
      <c r="A8" s="185"/>
      <c r="B8" s="185"/>
      <c r="C8" s="185"/>
      <c r="D8" s="185"/>
      <c r="E8" s="185"/>
      <c r="F8" s="185" t="s">
        <v>164</v>
      </c>
      <c r="G8" s="185"/>
      <c r="H8" s="188">
        <v>500</v>
      </c>
      <c r="I8" s="187"/>
      <c r="J8" s="188">
        <v>0</v>
      </c>
      <c r="K8" s="187"/>
      <c r="L8" s="188">
        <v>0</v>
      </c>
      <c r="M8" s="187"/>
      <c r="N8" s="188">
        <v>0</v>
      </c>
      <c r="O8" s="187"/>
      <c r="P8" s="188">
        <v>0</v>
      </c>
      <c r="Q8" s="187"/>
      <c r="R8" s="188">
        <v>0</v>
      </c>
      <c r="S8" s="187"/>
      <c r="T8" s="188">
        <v>0</v>
      </c>
      <c r="U8" s="187"/>
      <c r="V8" s="188">
        <v>0</v>
      </c>
      <c r="W8" s="187"/>
      <c r="X8" s="188">
        <v>0</v>
      </c>
      <c r="Y8" s="187"/>
      <c r="Z8" s="188">
        <v>0</v>
      </c>
      <c r="AA8" s="187"/>
      <c r="AB8" s="188">
        <v>0</v>
      </c>
      <c r="AC8" s="187"/>
      <c r="AD8" s="188">
        <v>0</v>
      </c>
      <c r="AE8" s="187"/>
      <c r="AF8" s="188">
        <f>SUM(H8:AE8)</f>
        <v>500</v>
      </c>
    </row>
    <row r="9" spans="1:34" x14ac:dyDescent="0.3">
      <c r="A9" s="185"/>
      <c r="B9" s="185"/>
      <c r="C9" s="185"/>
      <c r="D9" s="185"/>
      <c r="E9" s="185" t="s">
        <v>165</v>
      </c>
      <c r="F9" s="185"/>
      <c r="G9" s="185"/>
      <c r="H9" s="186">
        <v>500</v>
      </c>
      <c r="I9" s="187"/>
      <c r="J9" s="186">
        <v>0</v>
      </c>
      <c r="K9" s="187"/>
      <c r="L9" s="186">
        <v>0</v>
      </c>
      <c r="M9" s="187"/>
      <c r="N9" s="186">
        <v>0</v>
      </c>
      <c r="O9" s="187"/>
      <c r="P9" s="186">
        <v>0</v>
      </c>
      <c r="Q9" s="187"/>
      <c r="R9" s="186">
        <v>0</v>
      </c>
      <c r="S9" s="187"/>
      <c r="T9" s="186">
        <v>0</v>
      </c>
      <c r="U9" s="187"/>
      <c r="V9" s="186">
        <v>0</v>
      </c>
      <c r="W9" s="187"/>
      <c r="X9" s="186">
        <v>0</v>
      </c>
      <c r="Y9" s="187"/>
      <c r="Z9" s="186">
        <v>0</v>
      </c>
      <c r="AA9" s="187"/>
      <c r="AB9" s="186">
        <v>0</v>
      </c>
      <c r="AC9" s="187"/>
      <c r="AD9" s="186">
        <v>0</v>
      </c>
      <c r="AE9" s="187"/>
      <c r="AF9" s="186">
        <f>+AF8</f>
        <v>500</v>
      </c>
    </row>
    <row r="10" spans="1:34" x14ac:dyDescent="0.3">
      <c r="A10" s="185"/>
      <c r="B10" s="185"/>
      <c r="C10" s="185"/>
      <c r="D10" s="185"/>
      <c r="E10" s="185" t="s">
        <v>166</v>
      </c>
      <c r="F10" s="185"/>
      <c r="G10" s="185"/>
      <c r="H10" s="186"/>
      <c r="I10" s="187"/>
      <c r="J10" s="186"/>
      <c r="K10" s="187"/>
      <c r="L10" s="186"/>
      <c r="M10" s="187"/>
      <c r="N10" s="186"/>
      <c r="O10" s="187"/>
      <c r="P10" s="186"/>
      <c r="Q10" s="187"/>
      <c r="R10" s="186"/>
      <c r="S10" s="187"/>
      <c r="T10" s="186"/>
      <c r="U10" s="187"/>
      <c r="V10" s="186"/>
      <c r="W10" s="187"/>
      <c r="X10" s="186"/>
      <c r="Y10" s="187"/>
      <c r="Z10" s="186"/>
      <c r="AA10" s="187"/>
      <c r="AB10" s="186"/>
      <c r="AC10" s="187"/>
      <c r="AD10" s="186"/>
      <c r="AE10" s="187"/>
      <c r="AF10" s="186"/>
    </row>
    <row r="11" spans="1:34" x14ac:dyDescent="0.3">
      <c r="A11" s="185"/>
      <c r="B11" s="185"/>
      <c r="C11" s="185"/>
      <c r="D11" s="185"/>
      <c r="E11" s="185"/>
      <c r="F11" s="185" t="s">
        <v>167</v>
      </c>
      <c r="G11" s="185"/>
      <c r="H11" s="186">
        <v>66225.119999999995</v>
      </c>
      <c r="I11" s="187"/>
      <c r="J11" s="186">
        <v>65127.53</v>
      </c>
      <c r="K11" s="187"/>
      <c r="L11" s="186">
        <f>57078.33+9205.59-964.94</f>
        <v>65318.979999999996</v>
      </c>
      <c r="M11" s="187"/>
      <c r="N11" s="186">
        <f>57078.33+9205.59-964.94</f>
        <v>65318.979999999996</v>
      </c>
      <c r="O11" s="187"/>
      <c r="P11" s="186">
        <f>57078.33+9205.59-964.94</f>
        <v>65318.979999999996</v>
      </c>
      <c r="Q11" s="187"/>
      <c r="R11" s="186">
        <f>57078.33+9205.59-964.94</f>
        <v>65318.979999999996</v>
      </c>
      <c r="S11" s="187"/>
      <c r="T11" s="186">
        <f>57078.33+9205.59-964.94</f>
        <v>65318.979999999996</v>
      </c>
      <c r="U11" s="187"/>
      <c r="V11" s="186">
        <f>57078.33+9205.59-964.94</f>
        <v>65318.979999999996</v>
      </c>
      <c r="W11" s="187"/>
      <c r="X11" s="186">
        <f>57078.33+9205.59-964.94</f>
        <v>65318.979999999996</v>
      </c>
      <c r="Y11" s="187"/>
      <c r="Z11" s="186">
        <f>57078.33+9205.59-964.94</f>
        <v>65318.979999999996</v>
      </c>
      <c r="AA11" s="187"/>
      <c r="AB11" s="186">
        <f>57078.33+9205.59-964.94</f>
        <v>65318.979999999996</v>
      </c>
      <c r="AC11" s="187"/>
      <c r="AD11" s="186">
        <f>57078.33+9205.59-964.94</f>
        <v>65318.979999999996</v>
      </c>
      <c r="AE11" s="187"/>
      <c r="AF11" s="186">
        <f>SUM(H11:AE11)</f>
        <v>784542.44999999984</v>
      </c>
      <c r="AH11" s="189">
        <f>+AF13+AF17</f>
        <v>1064803.2699999998</v>
      </c>
    </row>
    <row r="12" spans="1:34" ht="13.5" thickBot="1" x14ac:dyDescent="0.35">
      <c r="A12" s="185"/>
      <c r="B12" s="185"/>
      <c r="C12" s="185"/>
      <c r="D12" s="185"/>
      <c r="E12" s="185"/>
      <c r="F12" s="185" t="s">
        <v>168</v>
      </c>
      <c r="G12" s="185"/>
      <c r="H12" s="188">
        <v>4124.95</v>
      </c>
      <c r="I12" s="187"/>
      <c r="J12" s="188">
        <v>12673.16</v>
      </c>
      <c r="K12" s="187"/>
      <c r="L12" s="188">
        <v>8396.66</v>
      </c>
      <c r="M12" s="187"/>
      <c r="N12" s="188">
        <v>8396.66</v>
      </c>
      <c r="O12" s="187"/>
      <c r="P12" s="188">
        <v>8396.66</v>
      </c>
      <c r="Q12" s="187"/>
      <c r="R12" s="188">
        <v>8396.66</v>
      </c>
      <c r="S12" s="187"/>
      <c r="T12" s="188">
        <f>8396.66+3231.4</f>
        <v>11628.06</v>
      </c>
      <c r="U12" s="187"/>
      <c r="V12" s="188">
        <v>8396.66</v>
      </c>
      <c r="W12" s="187"/>
      <c r="X12" s="188">
        <v>8396.66</v>
      </c>
      <c r="Y12" s="187"/>
      <c r="Z12" s="188">
        <v>8396.66</v>
      </c>
      <c r="AA12" s="187"/>
      <c r="AB12" s="188">
        <v>8396.66</v>
      </c>
      <c r="AC12" s="187"/>
      <c r="AD12" s="188">
        <v>8396.66</v>
      </c>
      <c r="AE12" s="187"/>
      <c r="AF12" s="188">
        <f>SUM(H12:AE12)</f>
        <v>103996.11000000002</v>
      </c>
      <c r="AH12" s="184">
        <v>3231.4</v>
      </c>
    </row>
    <row r="13" spans="1:34" x14ac:dyDescent="0.3">
      <c r="A13" s="185"/>
      <c r="B13" s="185"/>
      <c r="C13" s="185"/>
      <c r="D13" s="185"/>
      <c r="E13" s="185" t="s">
        <v>169</v>
      </c>
      <c r="F13" s="185"/>
      <c r="G13" s="185"/>
      <c r="H13" s="186">
        <v>70350.070000000007</v>
      </c>
      <c r="I13" s="187"/>
      <c r="J13" s="186">
        <v>77800.69</v>
      </c>
      <c r="K13" s="187"/>
      <c r="L13" s="186">
        <f>SUM(L11:L12)</f>
        <v>73715.64</v>
      </c>
      <c r="M13" s="187"/>
      <c r="N13" s="186">
        <f>SUM(N11:N12)</f>
        <v>73715.64</v>
      </c>
      <c r="O13" s="187"/>
      <c r="P13" s="186">
        <f>SUM(P11:P12)</f>
        <v>73715.64</v>
      </c>
      <c r="Q13" s="187"/>
      <c r="R13" s="186">
        <f>SUM(R11:R12)</f>
        <v>73715.64</v>
      </c>
      <c r="S13" s="187"/>
      <c r="T13" s="186">
        <f>SUM(T11:T12)</f>
        <v>76947.039999999994</v>
      </c>
      <c r="U13" s="187"/>
      <c r="V13" s="186">
        <f>SUM(V11:V12)</f>
        <v>73715.64</v>
      </c>
      <c r="W13" s="187"/>
      <c r="X13" s="186">
        <f>SUM(X11:X12)</f>
        <v>73715.64</v>
      </c>
      <c r="Y13" s="187"/>
      <c r="Z13" s="186">
        <f>SUM(Z11:Z12)</f>
        <v>73715.64</v>
      </c>
      <c r="AA13" s="187"/>
      <c r="AB13" s="186">
        <f>SUM(AB11:AB12)</f>
        <v>73715.64</v>
      </c>
      <c r="AC13" s="187"/>
      <c r="AD13" s="186">
        <f>SUM(AD11:AD12)</f>
        <v>73715.64</v>
      </c>
      <c r="AE13" s="187"/>
      <c r="AF13" s="190">
        <f>+AF11+AF12</f>
        <v>888538.55999999982</v>
      </c>
      <c r="AH13" s="184">
        <v>3231.4</v>
      </c>
    </row>
    <row r="14" spans="1:34" x14ac:dyDescent="0.3">
      <c r="A14" s="185"/>
      <c r="B14" s="185"/>
      <c r="C14" s="185"/>
      <c r="D14" s="185"/>
      <c r="E14" s="185" t="s">
        <v>170</v>
      </c>
      <c r="F14" s="185"/>
      <c r="G14" s="185"/>
      <c r="H14" s="186"/>
      <c r="I14" s="187"/>
      <c r="J14" s="186"/>
      <c r="K14" s="187"/>
      <c r="L14" s="186"/>
      <c r="M14" s="187"/>
      <c r="N14" s="186"/>
      <c r="O14" s="187"/>
      <c r="P14" s="186"/>
      <c r="Q14" s="187"/>
      <c r="R14" s="186"/>
      <c r="S14" s="187"/>
      <c r="T14" s="186"/>
      <c r="U14" s="187"/>
      <c r="V14" s="186"/>
      <c r="W14" s="187"/>
      <c r="X14" s="186"/>
      <c r="Y14" s="187"/>
      <c r="Z14" s="186"/>
      <c r="AA14" s="187"/>
      <c r="AB14" s="186"/>
      <c r="AC14" s="187"/>
      <c r="AD14" s="186"/>
      <c r="AE14" s="187"/>
      <c r="AF14" s="186"/>
      <c r="AH14" s="189">
        <f>+AH11-AH12-AH13</f>
        <v>1058340.47</v>
      </c>
    </row>
    <row r="15" spans="1:34" x14ac:dyDescent="0.3">
      <c r="A15" s="185"/>
      <c r="B15" s="185"/>
      <c r="C15" s="185"/>
      <c r="D15" s="185"/>
      <c r="E15" s="185"/>
      <c r="F15" s="185" t="s">
        <v>171</v>
      </c>
      <c r="G15" s="185"/>
      <c r="H15" s="186">
        <v>10454.1</v>
      </c>
      <c r="I15" s="187"/>
      <c r="J15" s="186">
        <v>12332.23</v>
      </c>
      <c r="K15" s="187"/>
      <c r="L15" s="186">
        <v>11385.64</v>
      </c>
      <c r="M15" s="187"/>
      <c r="N15" s="186">
        <v>11385.64</v>
      </c>
      <c r="O15" s="187"/>
      <c r="P15" s="186">
        <v>11385.64</v>
      </c>
      <c r="Q15" s="187"/>
      <c r="R15" s="186">
        <v>11385.64</v>
      </c>
      <c r="S15" s="187"/>
      <c r="T15" s="186">
        <v>11385.64</v>
      </c>
      <c r="U15" s="187"/>
      <c r="V15" s="186">
        <v>11385.64</v>
      </c>
      <c r="W15" s="187"/>
      <c r="X15" s="186">
        <v>11385.64</v>
      </c>
      <c r="Y15" s="187"/>
      <c r="Z15" s="186">
        <v>11385.64</v>
      </c>
      <c r="AA15" s="187"/>
      <c r="AB15" s="186">
        <v>11385.64</v>
      </c>
      <c r="AC15" s="187"/>
      <c r="AD15" s="186">
        <v>11385.64</v>
      </c>
      <c r="AE15" s="187"/>
      <c r="AF15" s="186">
        <f>SUM(H15:AE15)</f>
        <v>136642.72999999998</v>
      </c>
      <c r="AH15" s="184">
        <v>1062368.58</v>
      </c>
    </row>
    <row r="16" spans="1:34" ht="13.5" thickBot="1" x14ac:dyDescent="0.35">
      <c r="A16" s="185"/>
      <c r="B16" s="185"/>
      <c r="C16" s="185"/>
      <c r="D16" s="185"/>
      <c r="E16" s="185"/>
      <c r="F16" s="185" t="s">
        <v>172</v>
      </c>
      <c r="G16" s="185"/>
      <c r="H16" s="188">
        <v>3348.43</v>
      </c>
      <c r="I16" s="187"/>
      <c r="J16" s="188">
        <v>3295.95</v>
      </c>
      <c r="K16" s="187"/>
      <c r="L16" s="188">
        <v>3297.76</v>
      </c>
      <c r="M16" s="187"/>
      <c r="N16" s="188">
        <v>3297.76</v>
      </c>
      <c r="O16" s="187"/>
      <c r="P16" s="188">
        <v>3297.76</v>
      </c>
      <c r="Q16" s="187"/>
      <c r="R16" s="188">
        <v>3297.76</v>
      </c>
      <c r="S16" s="187"/>
      <c r="T16" s="188">
        <v>3297.76</v>
      </c>
      <c r="U16" s="187"/>
      <c r="V16" s="188">
        <v>3297.76</v>
      </c>
      <c r="W16" s="187"/>
      <c r="X16" s="188">
        <v>3297.76</v>
      </c>
      <c r="Y16" s="187"/>
      <c r="Z16" s="188">
        <v>3297.76</v>
      </c>
      <c r="AA16" s="187"/>
      <c r="AB16" s="188">
        <v>3297.76</v>
      </c>
      <c r="AC16" s="187"/>
      <c r="AD16" s="188">
        <v>3297.76</v>
      </c>
      <c r="AE16" s="187"/>
      <c r="AF16" s="188">
        <f>SUM(H16:AE16)</f>
        <v>39621.98000000001</v>
      </c>
      <c r="AH16" s="189">
        <f>+AH14-AH15</f>
        <v>-4028.1100000001024</v>
      </c>
    </row>
    <row r="17" spans="1:37" x14ac:dyDescent="0.3">
      <c r="A17" s="185"/>
      <c r="B17" s="185"/>
      <c r="C17" s="185"/>
      <c r="D17" s="185"/>
      <c r="E17" s="185" t="s">
        <v>173</v>
      </c>
      <c r="F17" s="185"/>
      <c r="G17" s="185"/>
      <c r="H17" s="186">
        <v>13802.53</v>
      </c>
      <c r="I17" s="187"/>
      <c r="J17" s="186">
        <v>15628.18</v>
      </c>
      <c r="K17" s="187"/>
      <c r="L17" s="186">
        <f>SUM(L15:L16)</f>
        <v>14683.4</v>
      </c>
      <c r="M17" s="187"/>
      <c r="N17" s="186">
        <f>SUM(N15:N16)</f>
        <v>14683.4</v>
      </c>
      <c r="O17" s="187"/>
      <c r="P17" s="186">
        <f>SUM(P15:P16)</f>
        <v>14683.4</v>
      </c>
      <c r="Q17" s="187"/>
      <c r="R17" s="186">
        <f>SUM(R15:R16)</f>
        <v>14683.4</v>
      </c>
      <c r="S17" s="187"/>
      <c r="T17" s="186">
        <f>SUM(T15:T16)</f>
        <v>14683.4</v>
      </c>
      <c r="U17" s="187"/>
      <c r="V17" s="186">
        <f>SUM(V15:V16)</f>
        <v>14683.4</v>
      </c>
      <c r="W17" s="187"/>
      <c r="X17" s="186">
        <f>SUM(X15:X16)</f>
        <v>14683.4</v>
      </c>
      <c r="Y17" s="187"/>
      <c r="Z17" s="186">
        <f>SUM(Z15:Z16)</f>
        <v>14683.4</v>
      </c>
      <c r="AA17" s="187"/>
      <c r="AB17" s="186">
        <f>SUM(AB15:AB16)</f>
        <v>14683.4</v>
      </c>
      <c r="AC17" s="187"/>
      <c r="AD17" s="186">
        <f>SUM(AD15:AD16)</f>
        <v>14683.4</v>
      </c>
      <c r="AE17" s="187"/>
      <c r="AF17" s="186">
        <f>SUM(AF15:AF16)</f>
        <v>176264.71</v>
      </c>
    </row>
    <row r="18" spans="1:37" x14ac:dyDescent="0.3">
      <c r="A18" s="185"/>
      <c r="B18" s="185"/>
      <c r="C18" s="185"/>
      <c r="D18" s="185"/>
      <c r="E18" s="185" t="s">
        <v>174</v>
      </c>
      <c r="F18" s="185"/>
      <c r="G18" s="185"/>
      <c r="H18" s="186"/>
      <c r="I18" s="187"/>
      <c r="J18" s="186"/>
      <c r="K18" s="187"/>
      <c r="L18" s="186"/>
      <c r="M18" s="187"/>
      <c r="N18" s="186"/>
      <c r="O18" s="187"/>
      <c r="P18" s="186"/>
      <c r="Q18" s="187"/>
      <c r="R18" s="186"/>
      <c r="S18" s="187"/>
      <c r="T18" s="186"/>
      <c r="U18" s="187"/>
      <c r="V18" s="186"/>
      <c r="W18" s="187"/>
      <c r="X18" s="186"/>
      <c r="Y18" s="187"/>
      <c r="Z18" s="186"/>
      <c r="AA18" s="187"/>
      <c r="AB18" s="186"/>
      <c r="AC18" s="187"/>
      <c r="AD18" s="186"/>
      <c r="AE18" s="187"/>
      <c r="AF18" s="186"/>
    </row>
    <row r="19" spans="1:37" x14ac:dyDescent="0.3">
      <c r="A19" s="185"/>
      <c r="B19" s="185"/>
      <c r="C19" s="185"/>
      <c r="D19" s="185"/>
      <c r="E19" s="185"/>
      <c r="F19" s="185" t="s">
        <v>175</v>
      </c>
      <c r="G19" s="185"/>
      <c r="H19" s="186"/>
      <c r="I19" s="187"/>
      <c r="J19" s="186"/>
      <c r="K19" s="187"/>
      <c r="L19" s="186"/>
      <c r="M19" s="187"/>
      <c r="N19" s="186"/>
      <c r="O19" s="187"/>
      <c r="P19" s="186"/>
      <c r="Q19" s="187"/>
      <c r="R19" s="186"/>
      <c r="S19" s="187"/>
      <c r="T19" s="186"/>
      <c r="U19" s="187"/>
      <c r="V19" s="186"/>
      <c r="W19" s="187"/>
      <c r="X19" s="186"/>
      <c r="Y19" s="187"/>
      <c r="Z19" s="186"/>
      <c r="AA19" s="187"/>
      <c r="AB19" s="186"/>
      <c r="AC19" s="187"/>
      <c r="AD19" s="186"/>
      <c r="AE19" s="187"/>
      <c r="AF19" s="186"/>
      <c r="AK19" s="184">
        <v>36000</v>
      </c>
    </row>
    <row r="20" spans="1:37" ht="13.5" thickBot="1" x14ac:dyDescent="0.35">
      <c r="A20" s="185"/>
      <c r="B20" s="185"/>
      <c r="C20" s="185"/>
      <c r="D20" s="185"/>
      <c r="E20" s="185"/>
      <c r="F20" s="185"/>
      <c r="G20" s="185" t="s">
        <v>176</v>
      </c>
      <c r="H20" s="186">
        <v>26740.14</v>
      </c>
      <c r="I20" s="187"/>
      <c r="J20" s="186">
        <v>16368.82</v>
      </c>
      <c r="K20" s="187"/>
      <c r="L20" s="186">
        <f>516589.2/10</f>
        <v>51658.92</v>
      </c>
      <c r="M20" s="187"/>
      <c r="N20" s="186">
        <f>516589.2/10</f>
        <v>51658.92</v>
      </c>
      <c r="O20" s="187"/>
      <c r="P20" s="186">
        <f>516589.2/10</f>
        <v>51658.92</v>
      </c>
      <c r="Q20" s="187"/>
      <c r="R20" s="186">
        <f>516589.2/10</f>
        <v>51658.92</v>
      </c>
      <c r="S20" s="187"/>
      <c r="T20" s="186">
        <f>516589.2/10</f>
        <v>51658.92</v>
      </c>
      <c r="U20" s="187"/>
      <c r="V20" s="186">
        <f>516589.2/10</f>
        <v>51658.92</v>
      </c>
      <c r="W20" s="187"/>
      <c r="X20" s="186">
        <f>516589.2/10</f>
        <v>51658.92</v>
      </c>
      <c r="Y20" s="187"/>
      <c r="Z20" s="186">
        <f>516589.2/10</f>
        <v>51658.92</v>
      </c>
      <c r="AA20" s="187"/>
      <c r="AB20" s="186">
        <f>516589.2/10</f>
        <v>51658.92</v>
      </c>
      <c r="AC20" s="187"/>
      <c r="AD20" s="186">
        <f>516589.2/10</f>
        <v>51658.92</v>
      </c>
      <c r="AE20" s="187"/>
      <c r="AF20" s="186">
        <f>SUM(H20:AE20)</f>
        <v>559698.15999999992</v>
      </c>
      <c r="AH20" s="184" t="s">
        <v>177</v>
      </c>
      <c r="AK20" s="184">
        <v>137461.73000000001</v>
      </c>
    </row>
    <row r="21" spans="1:37" ht="13.5" thickBot="1" x14ac:dyDescent="0.35">
      <c r="A21" s="185"/>
      <c r="B21" s="185"/>
      <c r="C21" s="185"/>
      <c r="D21" s="185"/>
      <c r="E21" s="185"/>
      <c r="F21" s="185" t="s">
        <v>178</v>
      </c>
      <c r="G21" s="185"/>
      <c r="H21" s="191">
        <v>26740.14</v>
      </c>
      <c r="I21" s="187"/>
      <c r="J21" s="191">
        <v>16368.82</v>
      </c>
      <c r="K21" s="187"/>
      <c r="L21" s="191">
        <f>SUM(L20)</f>
        <v>51658.92</v>
      </c>
      <c r="M21" s="187"/>
      <c r="N21" s="191">
        <f>SUM(N20)</f>
        <v>51658.92</v>
      </c>
      <c r="O21" s="187"/>
      <c r="P21" s="191">
        <f>SUM(P20)</f>
        <v>51658.92</v>
      </c>
      <c r="Q21" s="187"/>
      <c r="R21" s="191">
        <f>SUM(R20)</f>
        <v>51658.92</v>
      </c>
      <c r="S21" s="187"/>
      <c r="T21" s="191">
        <f>SUM(T20)</f>
        <v>51658.92</v>
      </c>
      <c r="U21" s="187"/>
      <c r="V21" s="191">
        <f>SUM(V20)</f>
        <v>51658.92</v>
      </c>
      <c r="W21" s="187"/>
      <c r="X21" s="191">
        <f>SUM(X20)</f>
        <v>51658.92</v>
      </c>
      <c r="Y21" s="187"/>
      <c r="Z21" s="191">
        <f>SUM(Z20)</f>
        <v>51658.92</v>
      </c>
      <c r="AA21" s="187"/>
      <c r="AB21" s="191">
        <f>SUM(AB20)</f>
        <v>51658.92</v>
      </c>
      <c r="AC21" s="187"/>
      <c r="AD21" s="191">
        <f>SUM(AD20)</f>
        <v>51658.92</v>
      </c>
      <c r="AE21" s="187"/>
      <c r="AF21" s="191">
        <f>SUM(AF20)</f>
        <v>559698.15999999992</v>
      </c>
      <c r="AK21" s="184">
        <v>337152.33</v>
      </c>
    </row>
    <row r="22" spans="1:37" x14ac:dyDescent="0.3">
      <c r="A22" s="185"/>
      <c r="B22" s="185"/>
      <c r="C22" s="185"/>
      <c r="D22" s="185"/>
      <c r="E22" s="185" t="s">
        <v>179</v>
      </c>
      <c r="F22" s="185"/>
      <c r="G22" s="185"/>
      <c r="H22" s="186">
        <v>26740.14</v>
      </c>
      <c r="I22" s="187"/>
      <c r="J22" s="186">
        <v>16368.82</v>
      </c>
      <c r="K22" s="187"/>
      <c r="L22" s="186">
        <f>+L21</f>
        <v>51658.92</v>
      </c>
      <c r="M22" s="187"/>
      <c r="N22" s="186">
        <f>+N21</f>
        <v>51658.92</v>
      </c>
      <c r="O22" s="187"/>
      <c r="P22" s="186">
        <f>+P21</f>
        <v>51658.92</v>
      </c>
      <c r="Q22" s="187"/>
      <c r="R22" s="186">
        <f>+R21</f>
        <v>51658.92</v>
      </c>
      <c r="S22" s="187"/>
      <c r="T22" s="186">
        <f>+T21</f>
        <v>51658.92</v>
      </c>
      <c r="U22" s="187"/>
      <c r="V22" s="186">
        <f>+V21</f>
        <v>51658.92</v>
      </c>
      <c r="W22" s="187"/>
      <c r="X22" s="186">
        <f>+X21</f>
        <v>51658.92</v>
      </c>
      <c r="Y22" s="187"/>
      <c r="Z22" s="186">
        <f>+Z21</f>
        <v>51658.92</v>
      </c>
      <c r="AA22" s="187"/>
      <c r="AB22" s="186">
        <f>+AB21</f>
        <v>51658.92</v>
      </c>
      <c r="AC22" s="187"/>
      <c r="AD22" s="186">
        <f>+AD21</f>
        <v>51658.92</v>
      </c>
      <c r="AE22" s="187"/>
      <c r="AF22" s="186">
        <f>+AF21</f>
        <v>559698.15999999992</v>
      </c>
      <c r="AK22" s="184">
        <v>5513.38</v>
      </c>
    </row>
    <row r="23" spans="1:37" ht="13.5" thickBot="1" x14ac:dyDescent="0.35">
      <c r="A23" s="185"/>
      <c r="B23" s="185"/>
      <c r="C23" s="185"/>
      <c r="D23" s="185"/>
      <c r="E23" s="185" t="s">
        <v>180</v>
      </c>
      <c r="F23" s="185"/>
      <c r="G23" s="185"/>
      <c r="H23" s="186">
        <v>0</v>
      </c>
      <c r="I23" s="187"/>
      <c r="J23" s="186">
        <v>8705.58</v>
      </c>
      <c r="K23" s="187"/>
      <c r="L23" s="186">
        <v>0</v>
      </c>
      <c r="M23" s="187"/>
      <c r="N23" s="186">
        <v>0</v>
      </c>
      <c r="O23" s="187"/>
      <c r="P23" s="186">
        <v>0</v>
      </c>
      <c r="Q23" s="187"/>
      <c r="R23" s="186">
        <v>0</v>
      </c>
      <c r="S23" s="187"/>
      <c r="T23" s="186">
        <v>0</v>
      </c>
      <c r="U23" s="187"/>
      <c r="V23" s="186">
        <v>0</v>
      </c>
      <c r="W23" s="187"/>
      <c r="X23" s="186">
        <v>0</v>
      </c>
      <c r="Y23" s="187"/>
      <c r="Z23" s="186">
        <v>0</v>
      </c>
      <c r="AA23" s="187"/>
      <c r="AB23" s="186">
        <v>0</v>
      </c>
      <c r="AC23" s="187"/>
      <c r="AD23" s="186">
        <v>0</v>
      </c>
      <c r="AE23" s="187"/>
      <c r="AF23" s="186">
        <v>8705.58</v>
      </c>
      <c r="AK23" s="184">
        <v>461.74</v>
      </c>
    </row>
    <row r="24" spans="1:37" ht="13.5" thickBot="1" x14ac:dyDescent="0.35">
      <c r="A24" s="185"/>
      <c r="B24" s="185"/>
      <c r="C24" s="185"/>
      <c r="D24" s="185" t="s">
        <v>181</v>
      </c>
      <c r="E24" s="185"/>
      <c r="F24" s="185"/>
      <c r="G24" s="185"/>
      <c r="H24" s="191">
        <v>111392.74</v>
      </c>
      <c r="I24" s="187"/>
      <c r="J24" s="191">
        <v>118857.85</v>
      </c>
      <c r="K24" s="187"/>
      <c r="L24" s="191">
        <f>+L22+L17+L13+L9+L6</f>
        <v>140357.96</v>
      </c>
      <c r="M24" s="187"/>
      <c r="N24" s="191">
        <f>+N22+N17+N13+N9+N6</f>
        <v>140057.96</v>
      </c>
      <c r="O24" s="187"/>
      <c r="P24" s="191">
        <f>+P22+P17+P13+P9+P6</f>
        <v>140057.96</v>
      </c>
      <c r="Q24" s="187"/>
      <c r="R24" s="191">
        <f>+R22+R17+R13+R9+R6</f>
        <v>140057.96</v>
      </c>
      <c r="S24" s="187"/>
      <c r="T24" s="191">
        <f>+T22+T17+T13+T9+T6</f>
        <v>143289.35999999999</v>
      </c>
      <c r="U24" s="187"/>
      <c r="V24" s="191">
        <f>+V22+V17+V13+V9+V6</f>
        <v>140057.96</v>
      </c>
      <c r="W24" s="187"/>
      <c r="X24" s="191">
        <f>+X22+X17+X13+X9+X6</f>
        <v>140057.96</v>
      </c>
      <c r="Y24" s="187"/>
      <c r="Z24" s="191">
        <f>+Z22+Z17+Z13+Z9+Z6</f>
        <v>140057.96</v>
      </c>
      <c r="AA24" s="187"/>
      <c r="AB24" s="191">
        <f>+AB22+AB17+AB13+AB9+AB6</f>
        <v>140057.96</v>
      </c>
      <c r="AC24" s="187"/>
      <c r="AD24" s="191">
        <f>+AD22+AD17+AD13+AD9+AD6</f>
        <v>140057.96</v>
      </c>
      <c r="AE24" s="187"/>
      <c r="AF24" s="191">
        <f>+AF6+AF9+AF13+AF17+AF22+AF23</f>
        <v>1634361.5899999999</v>
      </c>
      <c r="AK24" s="184">
        <f>SUM(AK19:AK23)</f>
        <v>516589.18000000005</v>
      </c>
    </row>
    <row r="25" spans="1:37" ht="13.5" thickBot="1" x14ac:dyDescent="0.35">
      <c r="A25" s="185"/>
      <c r="B25" s="185"/>
      <c r="C25" s="185" t="s">
        <v>182</v>
      </c>
      <c r="D25" s="185"/>
      <c r="E25" s="185"/>
      <c r="F25" s="185"/>
      <c r="G25" s="185"/>
      <c r="H25" s="186">
        <v>111392.74</v>
      </c>
      <c r="I25" s="187"/>
      <c r="J25" s="186">
        <v>118857.85</v>
      </c>
      <c r="K25" s="187"/>
      <c r="L25" s="186">
        <f>+L24</f>
        <v>140357.96</v>
      </c>
      <c r="M25" s="186"/>
      <c r="N25" s="186">
        <f t="shared" ref="N25:AD25" si="0">+N24</f>
        <v>140057.96</v>
      </c>
      <c r="O25" s="186"/>
      <c r="P25" s="186">
        <f t="shared" si="0"/>
        <v>140057.96</v>
      </c>
      <c r="Q25" s="186"/>
      <c r="R25" s="186">
        <f t="shared" si="0"/>
        <v>140057.96</v>
      </c>
      <c r="S25" s="186"/>
      <c r="T25" s="186">
        <f t="shared" si="0"/>
        <v>143289.35999999999</v>
      </c>
      <c r="U25" s="186"/>
      <c r="V25" s="186">
        <f t="shared" si="0"/>
        <v>140057.96</v>
      </c>
      <c r="W25" s="186"/>
      <c r="X25" s="186">
        <f t="shared" si="0"/>
        <v>140057.96</v>
      </c>
      <c r="Y25" s="186"/>
      <c r="Z25" s="186">
        <f t="shared" si="0"/>
        <v>140057.96</v>
      </c>
      <c r="AA25" s="186"/>
      <c r="AB25" s="186">
        <f t="shared" si="0"/>
        <v>140057.96</v>
      </c>
      <c r="AC25" s="186"/>
      <c r="AD25" s="186">
        <f t="shared" si="0"/>
        <v>140057.96</v>
      </c>
      <c r="AE25" s="187"/>
      <c r="AF25" s="191">
        <f>+AF23+AF22+AF17+AF13+AF9+AF6</f>
        <v>1634361.5899999999</v>
      </c>
    </row>
    <row r="26" spans="1:37" x14ac:dyDescent="0.3">
      <c r="A26" s="185"/>
      <c r="B26" s="185"/>
      <c r="C26" s="185"/>
      <c r="D26" s="185" t="s">
        <v>183</v>
      </c>
      <c r="E26" s="185"/>
      <c r="F26" s="185"/>
      <c r="G26" s="185"/>
      <c r="H26" s="186"/>
      <c r="I26" s="187"/>
      <c r="J26" s="186"/>
      <c r="K26" s="187"/>
      <c r="L26" s="186"/>
      <c r="M26" s="187"/>
      <c r="N26" s="186"/>
      <c r="O26" s="187"/>
      <c r="P26" s="186"/>
      <c r="Q26" s="187"/>
      <c r="R26" s="186"/>
      <c r="S26" s="187"/>
      <c r="T26" s="186"/>
      <c r="U26" s="187"/>
      <c r="V26" s="186"/>
      <c r="W26" s="187"/>
      <c r="X26" s="186"/>
      <c r="Y26" s="187"/>
      <c r="Z26" s="186"/>
      <c r="AA26" s="187"/>
      <c r="AB26" s="186"/>
      <c r="AC26" s="187"/>
      <c r="AD26" s="186"/>
      <c r="AE26" s="187"/>
      <c r="AF26" s="186"/>
    </row>
    <row r="27" spans="1:37" x14ac:dyDescent="0.3">
      <c r="A27" s="185"/>
      <c r="B27" s="185"/>
      <c r="C27" s="185"/>
      <c r="D27" s="185"/>
      <c r="E27" s="185" t="s">
        <v>184</v>
      </c>
      <c r="F27" s="185"/>
      <c r="G27" s="185"/>
      <c r="H27" s="186"/>
      <c r="I27" s="187"/>
      <c r="J27" s="186"/>
      <c r="K27" s="187"/>
      <c r="L27" s="186"/>
      <c r="M27" s="187"/>
      <c r="N27" s="186"/>
      <c r="O27" s="187"/>
      <c r="P27" s="186"/>
      <c r="Q27" s="187"/>
      <c r="R27" s="186"/>
      <c r="S27" s="187"/>
      <c r="T27" s="186"/>
      <c r="U27" s="187"/>
      <c r="V27" s="186"/>
      <c r="W27" s="187"/>
      <c r="X27" s="186"/>
      <c r="Y27" s="187"/>
      <c r="Z27" s="186"/>
      <c r="AA27" s="187"/>
      <c r="AB27" s="186"/>
      <c r="AC27" s="187"/>
      <c r="AD27" s="186"/>
      <c r="AE27" s="187"/>
      <c r="AF27" s="186"/>
    </row>
    <row r="28" spans="1:37" x14ac:dyDescent="0.3">
      <c r="A28" s="185"/>
      <c r="B28" s="185"/>
      <c r="C28" s="185"/>
      <c r="D28" s="185"/>
      <c r="E28" s="185"/>
      <c r="F28" s="185" t="s">
        <v>185</v>
      </c>
      <c r="G28" s="185"/>
      <c r="H28" s="186">
        <v>32295.7</v>
      </c>
      <c r="I28" s="187"/>
      <c r="J28" s="186">
        <v>34170.699999999997</v>
      </c>
      <c r="K28" s="187"/>
      <c r="L28" s="186">
        <f>15998.92*2</f>
        <v>31997.84</v>
      </c>
      <c r="M28" s="187"/>
      <c r="N28" s="186">
        <f>15998.92*2</f>
        <v>31997.84</v>
      </c>
      <c r="O28" s="187"/>
      <c r="P28" s="186">
        <f>15998.92*2</f>
        <v>31997.84</v>
      </c>
      <c r="Q28" s="187"/>
      <c r="R28" s="186">
        <f>15998.92*2</f>
        <v>31997.84</v>
      </c>
      <c r="S28" s="187"/>
      <c r="T28" s="186">
        <f>15998.92*2</f>
        <v>31997.84</v>
      </c>
      <c r="U28" s="187"/>
      <c r="V28" s="186">
        <f>15998.92*2</f>
        <v>31997.84</v>
      </c>
      <c r="W28" s="187"/>
      <c r="X28" s="186">
        <f>15998.92*2</f>
        <v>31997.84</v>
      </c>
      <c r="Y28" s="187"/>
      <c r="Z28" s="186">
        <f>15998.92*2</f>
        <v>31997.84</v>
      </c>
      <c r="AA28" s="187"/>
      <c r="AB28" s="186">
        <f>15998.92*2</f>
        <v>31997.84</v>
      </c>
      <c r="AC28" s="187"/>
      <c r="AD28" s="186">
        <f>15998.92*2</f>
        <v>31997.84</v>
      </c>
      <c r="AE28" s="187"/>
      <c r="AF28" s="186">
        <f>SUM(H28:AE28)</f>
        <v>386444.80000000005</v>
      </c>
    </row>
    <row r="29" spans="1:37" x14ac:dyDescent="0.3">
      <c r="A29" s="185"/>
      <c r="B29" s="185"/>
      <c r="C29" s="185"/>
      <c r="D29" s="185"/>
      <c r="E29" s="185"/>
      <c r="F29" s="185" t="s">
        <v>186</v>
      </c>
      <c r="G29" s="185"/>
      <c r="H29" s="186">
        <v>4223</v>
      </c>
      <c r="I29" s="187"/>
      <c r="J29" s="186">
        <v>4223</v>
      </c>
      <c r="K29" s="187"/>
      <c r="L29" s="186">
        <f>2174.85*2</f>
        <v>4349.7</v>
      </c>
      <c r="M29" s="187"/>
      <c r="N29" s="186">
        <f>2174.85*2</f>
        <v>4349.7</v>
      </c>
      <c r="O29" s="187"/>
      <c r="P29" s="186">
        <f>2174.85*2</f>
        <v>4349.7</v>
      </c>
      <c r="Q29" s="187"/>
      <c r="R29" s="186">
        <f>2174.85*2</f>
        <v>4349.7</v>
      </c>
      <c r="S29" s="187"/>
      <c r="T29" s="186">
        <f>2174.85*2</f>
        <v>4349.7</v>
      </c>
      <c r="U29" s="187"/>
      <c r="V29" s="186">
        <f>2174.85*2</f>
        <v>4349.7</v>
      </c>
      <c r="W29" s="187"/>
      <c r="X29" s="186">
        <f>2174.85*2</f>
        <v>4349.7</v>
      </c>
      <c r="Y29" s="187"/>
      <c r="Z29" s="186">
        <f>2174.85*2</f>
        <v>4349.7</v>
      </c>
      <c r="AA29" s="187"/>
      <c r="AB29" s="186">
        <f>2174.85*2</f>
        <v>4349.7</v>
      </c>
      <c r="AC29" s="187"/>
      <c r="AD29" s="186">
        <f>2174.85*2</f>
        <v>4349.7</v>
      </c>
      <c r="AE29" s="187"/>
      <c r="AF29" s="186">
        <f t="shared" ref="AF29:AF32" si="1">SUM(H29:AE29)</f>
        <v>51942.999999999993</v>
      </c>
    </row>
    <row r="30" spans="1:37" x14ac:dyDescent="0.3">
      <c r="A30" s="185"/>
      <c r="B30" s="185"/>
      <c r="C30" s="185"/>
      <c r="D30" s="185"/>
      <c r="E30" s="185"/>
      <c r="F30" s="185" t="s">
        <v>187</v>
      </c>
      <c r="G30" s="185"/>
      <c r="H30" s="186">
        <v>7495.06</v>
      </c>
      <c r="I30" s="187"/>
      <c r="J30" s="186">
        <v>7719.9</v>
      </c>
      <c r="K30" s="187"/>
      <c r="L30" s="186">
        <f>3859.95*2</f>
        <v>7719.9</v>
      </c>
      <c r="M30" s="187"/>
      <c r="N30" s="186">
        <f>3859.95*2</f>
        <v>7719.9</v>
      </c>
      <c r="O30" s="187"/>
      <c r="P30" s="186">
        <f>3859.95*2</f>
        <v>7719.9</v>
      </c>
      <c r="Q30" s="187"/>
      <c r="R30" s="186">
        <f>3859.95*2</f>
        <v>7719.9</v>
      </c>
      <c r="S30" s="187"/>
      <c r="T30" s="186">
        <f>3859.95*2</f>
        <v>7719.9</v>
      </c>
      <c r="U30" s="187"/>
      <c r="V30" s="186">
        <f>3859.95*2</f>
        <v>7719.9</v>
      </c>
      <c r="W30" s="187"/>
      <c r="X30" s="186">
        <f>3859.95*2</f>
        <v>7719.9</v>
      </c>
      <c r="Y30" s="187"/>
      <c r="Z30" s="186">
        <f>3859.95*2</f>
        <v>7719.9</v>
      </c>
      <c r="AA30" s="187"/>
      <c r="AB30" s="186">
        <f>3859.95*2</f>
        <v>7719.9</v>
      </c>
      <c r="AC30" s="187"/>
      <c r="AD30" s="186">
        <f>3859.95*2</f>
        <v>7719.9</v>
      </c>
      <c r="AE30" s="187"/>
      <c r="AF30" s="186">
        <f t="shared" si="1"/>
        <v>92413.959999999992</v>
      </c>
    </row>
    <row r="31" spans="1:37" x14ac:dyDescent="0.3">
      <c r="A31" s="185"/>
      <c r="B31" s="185"/>
      <c r="C31" s="185"/>
      <c r="D31" s="185"/>
      <c r="E31" s="185"/>
      <c r="F31" s="185" t="s">
        <v>188</v>
      </c>
      <c r="G31" s="185"/>
      <c r="H31" s="186">
        <v>9826.66</v>
      </c>
      <c r="I31" s="187"/>
      <c r="J31" s="186">
        <v>14908.82</v>
      </c>
      <c r="K31" s="187"/>
      <c r="L31" s="186">
        <f>5699.33*2</f>
        <v>11398.66</v>
      </c>
      <c r="M31" s="187"/>
      <c r="N31" s="186">
        <f>5699.33*2</f>
        <v>11398.66</v>
      </c>
      <c r="O31" s="187"/>
      <c r="P31" s="186">
        <f>5699.33*2</f>
        <v>11398.66</v>
      </c>
      <c r="Q31" s="187"/>
      <c r="R31" s="186">
        <f>5699.33*2</f>
        <v>11398.66</v>
      </c>
      <c r="S31" s="187"/>
      <c r="T31" s="186">
        <f>5699.33*2</f>
        <v>11398.66</v>
      </c>
      <c r="U31" s="187"/>
      <c r="V31" s="186">
        <f>5699.33*2</f>
        <v>11398.66</v>
      </c>
      <c r="W31" s="187"/>
      <c r="X31" s="186">
        <f>5699.33*2</f>
        <v>11398.66</v>
      </c>
      <c r="Y31" s="187"/>
      <c r="Z31" s="186">
        <f>5699.33*2</f>
        <v>11398.66</v>
      </c>
      <c r="AA31" s="187"/>
      <c r="AB31" s="186">
        <f>5699.33*2</f>
        <v>11398.66</v>
      </c>
      <c r="AC31" s="187"/>
      <c r="AD31" s="186">
        <f>5699.33*2</f>
        <v>11398.66</v>
      </c>
      <c r="AE31" s="187"/>
      <c r="AF31" s="186">
        <f t="shared" si="1"/>
        <v>138722.08000000002</v>
      </c>
    </row>
    <row r="32" spans="1:37" ht="13.5" thickBot="1" x14ac:dyDescent="0.35">
      <c r="A32" s="185"/>
      <c r="B32" s="185"/>
      <c r="C32" s="185"/>
      <c r="D32" s="185"/>
      <c r="E32" s="185"/>
      <c r="F32" s="185" t="s">
        <v>189</v>
      </c>
      <c r="G32" s="185"/>
      <c r="H32" s="188">
        <v>3194.28</v>
      </c>
      <c r="I32" s="187"/>
      <c r="J32" s="188">
        <v>0</v>
      </c>
      <c r="K32" s="187"/>
      <c r="L32" s="188">
        <v>0</v>
      </c>
      <c r="M32" s="187"/>
      <c r="N32" s="188">
        <v>0</v>
      </c>
      <c r="O32" s="187"/>
      <c r="P32" s="188">
        <v>0</v>
      </c>
      <c r="Q32" s="187"/>
      <c r="R32" s="188">
        <v>0</v>
      </c>
      <c r="S32" s="187"/>
      <c r="T32" s="188">
        <v>0</v>
      </c>
      <c r="U32" s="187"/>
      <c r="V32" s="188">
        <v>0</v>
      </c>
      <c r="W32" s="187"/>
      <c r="X32" s="188">
        <v>0</v>
      </c>
      <c r="Y32" s="187"/>
      <c r="Z32" s="188">
        <v>0</v>
      </c>
      <c r="AA32" s="187"/>
      <c r="AB32" s="188">
        <v>0</v>
      </c>
      <c r="AC32" s="187"/>
      <c r="AD32" s="188">
        <v>0</v>
      </c>
      <c r="AE32" s="187"/>
      <c r="AF32" s="192">
        <f t="shared" si="1"/>
        <v>3194.28</v>
      </c>
    </row>
    <row r="33" spans="1:36" x14ac:dyDescent="0.3">
      <c r="A33" s="185"/>
      <c r="B33" s="185"/>
      <c r="C33" s="185"/>
      <c r="D33" s="185"/>
      <c r="E33" s="185" t="s">
        <v>190</v>
      </c>
      <c r="F33" s="185"/>
      <c r="G33" s="185"/>
      <c r="H33" s="186">
        <v>57034.7</v>
      </c>
      <c r="I33" s="187"/>
      <c r="J33" s="186">
        <v>61022.42</v>
      </c>
      <c r="K33" s="187"/>
      <c r="L33" s="186">
        <f>SUM(L28:L32)</f>
        <v>55466.100000000006</v>
      </c>
      <c r="M33" s="187"/>
      <c r="N33" s="186">
        <f>SUM(N28:N32)</f>
        <v>55466.100000000006</v>
      </c>
      <c r="O33" s="187"/>
      <c r="P33" s="186">
        <f>SUM(P28:P32)</f>
        <v>55466.100000000006</v>
      </c>
      <c r="Q33" s="187"/>
      <c r="R33" s="186">
        <f>SUM(R28:R32)</f>
        <v>55466.100000000006</v>
      </c>
      <c r="S33" s="187"/>
      <c r="T33" s="186">
        <f>SUM(T28:T32)</f>
        <v>55466.100000000006</v>
      </c>
      <c r="U33" s="187"/>
      <c r="V33" s="186">
        <f>SUM(V28:V32)</f>
        <v>55466.100000000006</v>
      </c>
      <c r="W33" s="187"/>
      <c r="X33" s="186">
        <f>SUM(X28:X32)</f>
        <v>55466.100000000006</v>
      </c>
      <c r="Y33" s="187"/>
      <c r="Z33" s="186">
        <f>SUM(Z28:Z32)</f>
        <v>55466.100000000006</v>
      </c>
      <c r="AA33" s="187"/>
      <c r="AB33" s="186">
        <f>SUM(AB28:AB32)</f>
        <v>55466.100000000006</v>
      </c>
      <c r="AC33" s="187"/>
      <c r="AD33" s="186">
        <f>SUM(AD28:AD32)</f>
        <v>55466.100000000006</v>
      </c>
      <c r="AE33" s="187"/>
      <c r="AF33" s="193">
        <f>+AF28+AF29+AF30+AF31+AF32</f>
        <v>672718.12000000011</v>
      </c>
      <c r="AJ33" s="194">
        <f>+AD33+AD41+AD53+AD59+AD66+AD72+AD76+AD79+AD104+AD86+AD90+AD93+AD96</f>
        <v>102392.84453333332</v>
      </c>
    </row>
    <row r="34" spans="1:36" x14ac:dyDescent="0.3">
      <c r="A34" s="185"/>
      <c r="B34" s="185"/>
      <c r="C34" s="185"/>
      <c r="D34" s="185"/>
      <c r="E34" s="185" t="s">
        <v>191</v>
      </c>
      <c r="F34" s="185"/>
      <c r="G34" s="185"/>
      <c r="H34" s="186"/>
      <c r="I34" s="187"/>
      <c r="J34" s="186"/>
      <c r="K34" s="187"/>
      <c r="L34" s="186"/>
      <c r="M34" s="187"/>
      <c r="N34" s="186"/>
      <c r="O34" s="187"/>
      <c r="P34" s="186"/>
      <c r="Q34" s="187"/>
      <c r="R34" s="186"/>
      <c r="S34" s="187"/>
      <c r="T34" s="186"/>
      <c r="U34" s="187"/>
      <c r="V34" s="186"/>
      <c r="W34" s="187"/>
      <c r="X34" s="186"/>
      <c r="Y34" s="187"/>
      <c r="Z34" s="186"/>
      <c r="AA34" s="187"/>
      <c r="AB34" s="186"/>
      <c r="AC34" s="187"/>
      <c r="AD34" s="186"/>
      <c r="AE34" s="187"/>
      <c r="AF34" s="186"/>
    </row>
    <row r="35" spans="1:36" x14ac:dyDescent="0.3">
      <c r="A35" s="185"/>
      <c r="B35" s="185"/>
      <c r="C35" s="185"/>
      <c r="D35" s="185"/>
      <c r="E35" s="185"/>
      <c r="F35" s="185" t="s">
        <v>192</v>
      </c>
      <c r="G35" s="185"/>
      <c r="H35" s="186">
        <v>7537.66</v>
      </c>
      <c r="I35" s="187"/>
      <c r="J35" s="186">
        <v>7440.65</v>
      </c>
      <c r="K35" s="187"/>
      <c r="L35" s="186">
        <f>3678.46*2</f>
        <v>7356.92</v>
      </c>
      <c r="M35" s="187"/>
      <c r="N35" s="186">
        <f>3678.46*2</f>
        <v>7356.92</v>
      </c>
      <c r="O35" s="187"/>
      <c r="P35" s="186">
        <f>3678.46*2</f>
        <v>7356.92</v>
      </c>
      <c r="Q35" s="187"/>
      <c r="R35" s="186">
        <f>3678.46*2</f>
        <v>7356.92</v>
      </c>
      <c r="S35" s="187"/>
      <c r="T35" s="186">
        <f>3678.46*2</f>
        <v>7356.92</v>
      </c>
      <c r="U35" s="187"/>
      <c r="V35" s="186">
        <f>3678.46*2</f>
        <v>7356.92</v>
      </c>
      <c r="W35" s="187"/>
      <c r="X35" s="186">
        <f>3678.46*2</f>
        <v>7356.92</v>
      </c>
      <c r="Y35" s="187"/>
      <c r="Z35" s="186">
        <f>3678.46*2</f>
        <v>7356.92</v>
      </c>
      <c r="AA35" s="187"/>
      <c r="AB35" s="186">
        <f>3678.46*2</f>
        <v>7356.92</v>
      </c>
      <c r="AC35" s="187"/>
      <c r="AD35" s="186">
        <f>3678.46*2</f>
        <v>7356.92</v>
      </c>
      <c r="AE35" s="187"/>
      <c r="AF35" s="186">
        <f t="shared" ref="AF35:AF40" si="2">SUM(H35:AE35)</f>
        <v>88547.51</v>
      </c>
    </row>
    <row r="36" spans="1:36" x14ac:dyDescent="0.3">
      <c r="A36" s="185"/>
      <c r="B36" s="185"/>
      <c r="C36" s="185"/>
      <c r="D36" s="185"/>
      <c r="E36" s="185"/>
      <c r="F36" s="185" t="s">
        <v>193</v>
      </c>
      <c r="G36" s="185"/>
      <c r="H36" s="186">
        <v>0</v>
      </c>
      <c r="I36" s="187"/>
      <c r="J36" s="186">
        <v>-210.07</v>
      </c>
      <c r="K36" s="187"/>
      <c r="L36" s="186">
        <f>750*2</f>
        <v>1500</v>
      </c>
      <c r="M36" s="187"/>
      <c r="N36" s="186">
        <f>750*2</f>
        <v>1500</v>
      </c>
      <c r="O36" s="187"/>
      <c r="P36" s="186">
        <f>750*2</f>
        <v>1500</v>
      </c>
      <c r="Q36" s="187"/>
      <c r="R36" s="186">
        <f>750*2</f>
        <v>1500</v>
      </c>
      <c r="S36" s="187"/>
      <c r="T36" s="186">
        <f>750*2</f>
        <v>1500</v>
      </c>
      <c r="U36" s="187"/>
      <c r="V36" s="186">
        <f>750*2</f>
        <v>1500</v>
      </c>
      <c r="W36" s="187"/>
      <c r="X36" s="186">
        <f>750*2</f>
        <v>1500</v>
      </c>
      <c r="Y36" s="187"/>
      <c r="Z36" s="186">
        <f>750*2</f>
        <v>1500</v>
      </c>
      <c r="AA36" s="187"/>
      <c r="AB36" s="186">
        <f>750*2</f>
        <v>1500</v>
      </c>
      <c r="AC36" s="187"/>
      <c r="AD36" s="186">
        <f>750*2</f>
        <v>1500</v>
      </c>
      <c r="AE36" s="187"/>
      <c r="AF36" s="186">
        <f t="shared" si="2"/>
        <v>14789.93</v>
      </c>
    </row>
    <row r="37" spans="1:36" x14ac:dyDescent="0.3">
      <c r="A37" s="185"/>
      <c r="B37" s="185"/>
      <c r="C37" s="185"/>
      <c r="D37" s="185"/>
      <c r="E37" s="185"/>
      <c r="F37" s="185" t="s">
        <v>194</v>
      </c>
      <c r="G37" s="185"/>
      <c r="H37" s="186">
        <v>3300.01</v>
      </c>
      <c r="I37" s="187"/>
      <c r="J37" s="186">
        <v>3310.78</v>
      </c>
      <c r="K37" s="187"/>
      <c r="L37" s="186">
        <f>20*2</f>
        <v>40</v>
      </c>
      <c r="M37" s="187"/>
      <c r="N37" s="186">
        <f>20*2</f>
        <v>40</v>
      </c>
      <c r="O37" s="187"/>
      <c r="P37" s="186">
        <f>20*2</f>
        <v>40</v>
      </c>
      <c r="Q37" s="187"/>
      <c r="R37" s="186">
        <f>20*2</f>
        <v>40</v>
      </c>
      <c r="S37" s="187"/>
      <c r="T37" s="186">
        <f>20*2</f>
        <v>40</v>
      </c>
      <c r="U37" s="187"/>
      <c r="V37" s="186">
        <f>20*2</f>
        <v>40</v>
      </c>
      <c r="W37" s="187"/>
      <c r="X37" s="186">
        <f>20*2</f>
        <v>40</v>
      </c>
      <c r="Y37" s="187"/>
      <c r="Z37" s="186">
        <f>20*2</f>
        <v>40</v>
      </c>
      <c r="AA37" s="187"/>
      <c r="AB37" s="186">
        <f>20*2</f>
        <v>40</v>
      </c>
      <c r="AC37" s="187"/>
      <c r="AD37" s="186">
        <f>20*2</f>
        <v>40</v>
      </c>
      <c r="AE37" s="187"/>
      <c r="AF37" s="186">
        <f t="shared" si="2"/>
        <v>7010.7900000000009</v>
      </c>
    </row>
    <row r="38" spans="1:36" x14ac:dyDescent="0.3">
      <c r="A38" s="185"/>
      <c r="B38" s="185"/>
      <c r="C38" s="185"/>
      <c r="D38" s="185"/>
      <c r="E38" s="185"/>
      <c r="F38" s="185" t="s">
        <v>195</v>
      </c>
      <c r="G38" s="185"/>
      <c r="H38" s="186">
        <v>447.2</v>
      </c>
      <c r="I38" s="187"/>
      <c r="J38" s="186">
        <v>1242.31</v>
      </c>
      <c r="K38" s="187"/>
      <c r="L38" s="186">
        <f>204.17*2</f>
        <v>408.34</v>
      </c>
      <c r="M38" s="187"/>
      <c r="N38" s="186">
        <f>204.17*2</f>
        <v>408.34</v>
      </c>
      <c r="O38" s="187"/>
      <c r="P38" s="186">
        <f>204.17*2</f>
        <v>408.34</v>
      </c>
      <c r="Q38" s="187"/>
      <c r="R38" s="186">
        <f>204.17*2</f>
        <v>408.34</v>
      </c>
      <c r="S38" s="187"/>
      <c r="T38" s="186">
        <f>204.17*2</f>
        <v>408.34</v>
      </c>
      <c r="U38" s="187"/>
      <c r="V38" s="186">
        <f>204.17*2</f>
        <v>408.34</v>
      </c>
      <c r="W38" s="187"/>
      <c r="X38" s="186">
        <f>204.17*2</f>
        <v>408.34</v>
      </c>
      <c r="Y38" s="187"/>
      <c r="Z38" s="186">
        <f>204.17*2</f>
        <v>408.34</v>
      </c>
      <c r="AA38" s="187"/>
      <c r="AB38" s="186">
        <f>204.17*2</f>
        <v>408.34</v>
      </c>
      <c r="AC38" s="187"/>
      <c r="AD38" s="186">
        <f>204.17*2</f>
        <v>408.34</v>
      </c>
      <c r="AE38" s="187"/>
      <c r="AF38" s="186">
        <f t="shared" si="2"/>
        <v>5772.9100000000008</v>
      </c>
    </row>
    <row r="39" spans="1:36" x14ac:dyDescent="0.3">
      <c r="A39" s="185"/>
      <c r="B39" s="185"/>
      <c r="C39" s="185"/>
      <c r="D39" s="185"/>
      <c r="E39" s="185"/>
      <c r="F39" s="185" t="s">
        <v>196</v>
      </c>
      <c r="G39" s="185"/>
      <c r="H39" s="186">
        <v>826.98</v>
      </c>
      <c r="I39" s="187"/>
      <c r="J39" s="186">
        <v>884.82</v>
      </c>
      <c r="K39" s="187"/>
      <c r="L39" s="186">
        <f>402.15*2</f>
        <v>804.3</v>
      </c>
      <c r="M39" s="187"/>
      <c r="N39" s="186">
        <f>402.15*2</f>
        <v>804.3</v>
      </c>
      <c r="O39" s="187"/>
      <c r="P39" s="186">
        <f>402.15*2</f>
        <v>804.3</v>
      </c>
      <c r="Q39" s="187"/>
      <c r="R39" s="186">
        <f>402.15*2</f>
        <v>804.3</v>
      </c>
      <c r="S39" s="187"/>
      <c r="T39" s="186">
        <f>402.15*2</f>
        <v>804.3</v>
      </c>
      <c r="U39" s="187"/>
      <c r="V39" s="186">
        <f>402.15*2</f>
        <v>804.3</v>
      </c>
      <c r="W39" s="187"/>
      <c r="X39" s="186">
        <f>402.15*2</f>
        <v>804.3</v>
      </c>
      <c r="Y39" s="187"/>
      <c r="Z39" s="186">
        <f>402.15*2</f>
        <v>804.3</v>
      </c>
      <c r="AA39" s="187"/>
      <c r="AB39" s="186">
        <f>402.15*2</f>
        <v>804.3</v>
      </c>
      <c r="AC39" s="187"/>
      <c r="AD39" s="186">
        <f>402.15*2</f>
        <v>804.3</v>
      </c>
      <c r="AE39" s="187"/>
      <c r="AF39" s="186">
        <f t="shared" si="2"/>
        <v>9754.8000000000011</v>
      </c>
    </row>
    <row r="40" spans="1:36" ht="13.5" thickBot="1" x14ac:dyDescent="0.35">
      <c r="A40" s="185"/>
      <c r="B40" s="185"/>
      <c r="C40" s="185"/>
      <c r="D40" s="185"/>
      <c r="E40" s="185"/>
      <c r="F40" s="185" t="s">
        <v>197</v>
      </c>
      <c r="G40" s="185"/>
      <c r="H40" s="188">
        <v>1342</v>
      </c>
      <c r="I40" s="187"/>
      <c r="J40" s="188">
        <v>0</v>
      </c>
      <c r="K40" s="187"/>
      <c r="L40" s="188">
        <v>0</v>
      </c>
      <c r="M40" s="187"/>
      <c r="N40" s="188">
        <v>0</v>
      </c>
      <c r="O40" s="187"/>
      <c r="P40" s="188">
        <v>0</v>
      </c>
      <c r="Q40" s="187"/>
      <c r="R40" s="188">
        <v>0</v>
      </c>
      <c r="S40" s="187"/>
      <c r="T40" s="188">
        <v>0</v>
      </c>
      <c r="U40" s="187"/>
      <c r="V40" s="188">
        <v>0</v>
      </c>
      <c r="W40" s="187"/>
      <c r="X40" s="188">
        <v>0</v>
      </c>
      <c r="Y40" s="187"/>
      <c r="Z40" s="188">
        <v>0</v>
      </c>
      <c r="AA40" s="187"/>
      <c r="AB40" s="188">
        <v>0</v>
      </c>
      <c r="AC40" s="187"/>
      <c r="AD40" s="188">
        <v>0</v>
      </c>
      <c r="AE40" s="187"/>
      <c r="AF40" s="192">
        <f t="shared" si="2"/>
        <v>1342</v>
      </c>
    </row>
    <row r="41" spans="1:36" x14ac:dyDescent="0.3">
      <c r="A41" s="185"/>
      <c r="B41" s="185"/>
      <c r="C41" s="185"/>
      <c r="D41" s="185"/>
      <c r="E41" s="185" t="s">
        <v>198</v>
      </c>
      <c r="F41" s="185"/>
      <c r="G41" s="185"/>
      <c r="H41" s="186">
        <v>13453.85</v>
      </c>
      <c r="I41" s="187"/>
      <c r="J41" s="186">
        <v>12668.49</v>
      </c>
      <c r="K41" s="187"/>
      <c r="L41" s="186">
        <f>SUM(L35:L40)</f>
        <v>10109.56</v>
      </c>
      <c r="M41" s="187"/>
      <c r="N41" s="186">
        <f>SUM(N35:N40)</f>
        <v>10109.56</v>
      </c>
      <c r="O41" s="187"/>
      <c r="P41" s="186">
        <f>SUM(P35:P40)</f>
        <v>10109.56</v>
      </c>
      <c r="Q41" s="187"/>
      <c r="R41" s="186">
        <f>SUM(R35:R40)</f>
        <v>10109.56</v>
      </c>
      <c r="S41" s="187"/>
      <c r="T41" s="186">
        <f>SUM(T35:T40)</f>
        <v>10109.56</v>
      </c>
      <c r="U41" s="187"/>
      <c r="V41" s="186">
        <f>SUM(V35:V40)</f>
        <v>10109.56</v>
      </c>
      <c r="W41" s="187"/>
      <c r="X41" s="186">
        <f>SUM(X35:X40)</f>
        <v>10109.56</v>
      </c>
      <c r="Y41" s="187"/>
      <c r="Z41" s="186">
        <f>SUM(Z35:Z40)</f>
        <v>10109.56</v>
      </c>
      <c r="AA41" s="187"/>
      <c r="AB41" s="186">
        <f>SUM(AB35:AB40)</f>
        <v>10109.56</v>
      </c>
      <c r="AC41" s="187"/>
      <c r="AD41" s="186">
        <f>SUM(AD35:AD40)</f>
        <v>10109.56</v>
      </c>
      <c r="AE41" s="187"/>
      <c r="AF41" s="193">
        <f>+AF35+AF36+AF37+AF38+AF39+AF40</f>
        <v>127217.94000000002</v>
      </c>
    </row>
    <row r="42" spans="1:36" x14ac:dyDescent="0.3">
      <c r="A42" s="185"/>
      <c r="B42" s="185"/>
      <c r="C42" s="185"/>
      <c r="D42" s="185"/>
      <c r="E42" s="185" t="s">
        <v>199</v>
      </c>
      <c r="F42" s="185"/>
      <c r="G42" s="185"/>
      <c r="H42" s="186"/>
      <c r="I42" s="187"/>
      <c r="J42" s="186"/>
      <c r="K42" s="187"/>
      <c r="L42" s="186"/>
      <c r="M42" s="187"/>
      <c r="N42" s="186"/>
      <c r="O42" s="187"/>
      <c r="P42" s="186"/>
      <c r="Q42" s="187"/>
      <c r="R42" s="186"/>
      <c r="S42" s="187"/>
      <c r="T42" s="186"/>
      <c r="U42" s="187"/>
      <c r="V42" s="186"/>
      <c r="W42" s="187"/>
      <c r="X42" s="186"/>
      <c r="Y42" s="187"/>
      <c r="Z42" s="186"/>
      <c r="AA42" s="187"/>
      <c r="AB42" s="186"/>
      <c r="AC42" s="187"/>
      <c r="AD42" s="186"/>
      <c r="AE42" s="187"/>
      <c r="AF42" s="186"/>
    </row>
    <row r="43" spans="1:36" x14ac:dyDescent="0.3">
      <c r="A43" s="185"/>
      <c r="B43" s="185"/>
      <c r="C43" s="185"/>
      <c r="D43" s="185"/>
      <c r="E43" s="185"/>
      <c r="F43" s="185" t="s">
        <v>200</v>
      </c>
      <c r="G43" s="185"/>
      <c r="H43" s="186">
        <v>-480</v>
      </c>
      <c r="I43" s="187"/>
      <c r="J43" s="186">
        <v>1650</v>
      </c>
      <c r="K43" s="187"/>
      <c r="L43" s="186">
        <v>500</v>
      </c>
      <c r="M43" s="187"/>
      <c r="N43" s="186">
        <v>500</v>
      </c>
      <c r="O43" s="187"/>
      <c r="P43" s="186">
        <v>500</v>
      </c>
      <c r="Q43" s="187"/>
      <c r="R43" s="186">
        <v>500</v>
      </c>
      <c r="S43" s="187"/>
      <c r="T43" s="186">
        <v>1500</v>
      </c>
      <c r="U43" s="187"/>
      <c r="V43" s="186">
        <v>1500</v>
      </c>
      <c r="W43" s="187"/>
      <c r="X43" s="186">
        <v>1500</v>
      </c>
      <c r="Y43" s="187"/>
      <c r="Z43" s="186">
        <v>1500</v>
      </c>
      <c r="AA43" s="187"/>
      <c r="AB43" s="186">
        <v>1500</v>
      </c>
      <c r="AC43" s="187"/>
      <c r="AD43" s="186">
        <v>0</v>
      </c>
      <c r="AE43" s="187"/>
      <c r="AF43" s="190">
        <f>SUM(H43:AE43)</f>
        <v>10670</v>
      </c>
      <c r="AH43" s="184" t="s">
        <v>201</v>
      </c>
    </row>
    <row r="44" spans="1:36" x14ac:dyDescent="0.3">
      <c r="A44" s="185"/>
      <c r="B44" s="185"/>
      <c r="C44" s="185"/>
      <c r="D44" s="185"/>
      <c r="E44" s="185"/>
      <c r="F44" s="185" t="s">
        <v>202</v>
      </c>
      <c r="G44" s="185"/>
      <c r="H44" s="186">
        <v>3752</v>
      </c>
      <c r="I44" s="187"/>
      <c r="J44" s="186">
        <v>2984</v>
      </c>
      <c r="K44" s="187"/>
      <c r="L44" s="186">
        <v>2200</v>
      </c>
      <c r="M44" s="187"/>
      <c r="N44" s="186">
        <v>2200</v>
      </c>
      <c r="O44" s="187"/>
      <c r="P44" s="186">
        <v>2200</v>
      </c>
      <c r="Q44" s="187"/>
      <c r="R44" s="186">
        <v>2200</v>
      </c>
      <c r="S44" s="187"/>
      <c r="T44" s="186">
        <v>2200</v>
      </c>
      <c r="U44" s="187"/>
      <c r="V44" s="186">
        <v>2200</v>
      </c>
      <c r="W44" s="187"/>
      <c r="X44" s="186">
        <v>2200</v>
      </c>
      <c r="Y44" s="187"/>
      <c r="Z44" s="186">
        <v>2200</v>
      </c>
      <c r="AA44" s="187"/>
      <c r="AB44" s="186">
        <v>2200</v>
      </c>
      <c r="AC44" s="187"/>
      <c r="AD44" s="186">
        <v>2200</v>
      </c>
      <c r="AE44" s="187"/>
      <c r="AF44" s="186">
        <f t="shared" ref="AF44:AF52" si="3">SUM(H44:AE44)</f>
        <v>28736</v>
      </c>
    </row>
    <row r="45" spans="1:36" x14ac:dyDescent="0.3">
      <c r="A45" s="185"/>
      <c r="B45" s="185"/>
      <c r="C45" s="185"/>
      <c r="D45" s="185"/>
      <c r="E45" s="185"/>
      <c r="F45" s="185" t="s">
        <v>203</v>
      </c>
      <c r="G45" s="185"/>
      <c r="H45" s="186"/>
      <c r="I45" s="187"/>
      <c r="J45" s="186"/>
      <c r="K45" s="187"/>
      <c r="L45" s="186">
        <v>1000</v>
      </c>
      <c r="M45" s="187"/>
      <c r="N45" s="186">
        <v>1000</v>
      </c>
      <c r="O45" s="187"/>
      <c r="P45" s="186">
        <v>1000</v>
      </c>
      <c r="Q45" s="187"/>
      <c r="R45" s="186">
        <v>1000</v>
      </c>
      <c r="S45" s="187"/>
      <c r="T45" s="186">
        <v>1000</v>
      </c>
      <c r="U45" s="187"/>
      <c r="V45" s="186">
        <v>1000</v>
      </c>
      <c r="W45" s="187"/>
      <c r="X45" s="186">
        <v>1000</v>
      </c>
      <c r="Y45" s="187"/>
      <c r="Z45" s="186">
        <v>1000</v>
      </c>
      <c r="AA45" s="187"/>
      <c r="AB45" s="186">
        <v>1000</v>
      </c>
      <c r="AC45" s="187"/>
      <c r="AD45" s="186">
        <v>1000</v>
      </c>
      <c r="AE45" s="187"/>
      <c r="AF45" s="190">
        <f t="shared" si="3"/>
        <v>10000</v>
      </c>
    </row>
    <row r="46" spans="1:36" x14ac:dyDescent="0.3">
      <c r="A46" s="185"/>
      <c r="B46" s="185"/>
      <c r="C46" s="185"/>
      <c r="D46" s="185"/>
      <c r="E46" s="185"/>
      <c r="F46" s="185" t="s">
        <v>204</v>
      </c>
      <c r="G46" s="185"/>
      <c r="H46" s="186">
        <v>2524.58</v>
      </c>
      <c r="I46" s="187"/>
      <c r="J46" s="186">
        <v>2826.87</v>
      </c>
      <c r="K46" s="187"/>
      <c r="L46" s="190">
        <v>2651.96</v>
      </c>
      <c r="M46" s="195"/>
      <c r="N46" s="190">
        <f>SUM(N13+N17)*0.03</f>
        <v>2651.9711999999995</v>
      </c>
      <c r="O46" s="195"/>
      <c r="P46" s="190">
        <f>SUM(P13+P17)*0.03</f>
        <v>2651.9711999999995</v>
      </c>
      <c r="Q46" s="195"/>
      <c r="R46" s="190">
        <f>SUM(R13+R17)*0.03</f>
        <v>2651.9711999999995</v>
      </c>
      <c r="S46" s="195"/>
      <c r="T46" s="190">
        <f>SUM(T13+T17)*0.03</f>
        <v>2748.9131999999995</v>
      </c>
      <c r="U46" s="195"/>
      <c r="V46" s="190">
        <f>SUM(V13+V17)*0.03</f>
        <v>2651.9711999999995</v>
      </c>
      <c r="W46" s="195"/>
      <c r="X46" s="190">
        <f>SUM(X13+X17)*0.03</f>
        <v>2651.9711999999995</v>
      </c>
      <c r="Y46" s="195"/>
      <c r="Z46" s="190">
        <f>SUM(Z13+Z17)*0.03</f>
        <v>2651.9711999999995</v>
      </c>
      <c r="AA46" s="195"/>
      <c r="AB46" s="190">
        <f>SUM(AB13+AB17)*0.03</f>
        <v>2651.9711999999995</v>
      </c>
      <c r="AC46" s="195"/>
      <c r="AD46" s="190">
        <f>SUM(AD13+AD17)*0.03</f>
        <v>2651.9711999999995</v>
      </c>
      <c r="AE46" s="187"/>
      <c r="AF46" s="225">
        <f t="shared" si="3"/>
        <v>31968.092799999999</v>
      </c>
    </row>
    <row r="47" spans="1:36" x14ac:dyDescent="0.3">
      <c r="A47" s="185"/>
      <c r="B47" s="185"/>
      <c r="C47" s="185"/>
      <c r="D47" s="185"/>
      <c r="E47" s="185"/>
      <c r="F47" s="185" t="s">
        <v>205</v>
      </c>
      <c r="G47" s="185"/>
      <c r="H47" s="186">
        <v>18390.5</v>
      </c>
      <c r="I47" s="187"/>
      <c r="J47" s="186">
        <v>1400</v>
      </c>
      <c r="K47" s="187"/>
      <c r="L47" s="186">
        <v>1400</v>
      </c>
      <c r="M47" s="187"/>
      <c r="N47" s="186">
        <v>1400</v>
      </c>
      <c r="O47" s="187"/>
      <c r="P47" s="186">
        <v>1400</v>
      </c>
      <c r="Q47" s="187"/>
      <c r="R47" s="186">
        <v>1400</v>
      </c>
      <c r="S47" s="187"/>
      <c r="T47" s="186">
        <v>1400</v>
      </c>
      <c r="U47" s="187"/>
      <c r="V47" s="186">
        <v>1400</v>
      </c>
      <c r="W47" s="187"/>
      <c r="X47" s="186">
        <v>1400</v>
      </c>
      <c r="Y47" s="187"/>
      <c r="Z47" s="186">
        <v>1400</v>
      </c>
      <c r="AA47" s="187"/>
      <c r="AB47" s="186">
        <v>1400</v>
      </c>
      <c r="AC47" s="187"/>
      <c r="AD47" s="186">
        <v>1400</v>
      </c>
      <c r="AE47" s="187"/>
      <c r="AF47" s="225">
        <f t="shared" si="3"/>
        <v>33790.5</v>
      </c>
    </row>
    <row r="48" spans="1:36" x14ac:dyDescent="0.3">
      <c r="A48" s="185"/>
      <c r="B48" s="185"/>
      <c r="C48" s="185"/>
      <c r="D48" s="185"/>
      <c r="E48" s="185"/>
      <c r="F48" s="185" t="s">
        <v>206</v>
      </c>
      <c r="G48" s="185"/>
      <c r="H48" s="186">
        <v>75</v>
      </c>
      <c r="I48" s="187"/>
      <c r="J48" s="186">
        <v>0</v>
      </c>
      <c r="K48" s="187"/>
      <c r="L48" s="186">
        <v>3760</v>
      </c>
      <c r="M48" s="187"/>
      <c r="N48" s="186">
        <v>0</v>
      </c>
      <c r="O48" s="187"/>
      <c r="P48" s="186">
        <v>0</v>
      </c>
      <c r="Q48" s="187"/>
      <c r="R48" s="186">
        <v>0</v>
      </c>
      <c r="S48" s="187"/>
      <c r="T48" s="186">
        <v>0</v>
      </c>
      <c r="U48" s="187"/>
      <c r="V48" s="186">
        <v>0</v>
      </c>
      <c r="W48" s="187"/>
      <c r="X48" s="186">
        <v>0</v>
      </c>
      <c r="Y48" s="187"/>
      <c r="Z48" s="186">
        <v>1300</v>
      </c>
      <c r="AA48" s="187"/>
      <c r="AB48" s="186">
        <v>0</v>
      </c>
      <c r="AC48" s="187"/>
      <c r="AD48" s="186">
        <v>0</v>
      </c>
      <c r="AE48" s="187"/>
      <c r="AF48" s="225">
        <f t="shared" si="3"/>
        <v>5135</v>
      </c>
    </row>
    <row r="49" spans="1:36" x14ac:dyDescent="0.3">
      <c r="A49" s="185"/>
      <c r="B49" s="185"/>
      <c r="C49" s="185"/>
      <c r="D49" s="185"/>
      <c r="E49" s="185"/>
      <c r="F49" s="185" t="s">
        <v>207</v>
      </c>
      <c r="G49" s="185"/>
      <c r="H49" s="186">
        <v>3500</v>
      </c>
      <c r="I49" s="187"/>
      <c r="J49" s="186">
        <v>3500</v>
      </c>
      <c r="K49" s="187"/>
      <c r="L49" s="186">
        <v>3500</v>
      </c>
      <c r="M49" s="187"/>
      <c r="N49" s="186">
        <v>3500</v>
      </c>
      <c r="O49" s="187"/>
      <c r="P49" s="186">
        <v>3500</v>
      </c>
      <c r="Q49" s="187"/>
      <c r="R49" s="186">
        <v>3500</v>
      </c>
      <c r="S49" s="187"/>
      <c r="T49" s="186">
        <v>3500</v>
      </c>
      <c r="U49" s="187"/>
      <c r="V49" s="186">
        <v>3500</v>
      </c>
      <c r="W49" s="187"/>
      <c r="X49" s="186">
        <v>3500</v>
      </c>
      <c r="Y49" s="187"/>
      <c r="Z49" s="186">
        <v>3500</v>
      </c>
      <c r="AA49" s="187"/>
      <c r="AB49" s="186">
        <v>3500</v>
      </c>
      <c r="AC49" s="187"/>
      <c r="AD49" s="186">
        <v>3500</v>
      </c>
      <c r="AE49" s="187"/>
      <c r="AF49" s="186">
        <f t="shared" si="3"/>
        <v>42000</v>
      </c>
    </row>
    <row r="50" spans="1:36" x14ac:dyDescent="0.3">
      <c r="A50" s="185"/>
      <c r="B50" s="185"/>
      <c r="C50" s="185"/>
      <c r="D50" s="185"/>
      <c r="E50" s="185"/>
      <c r="F50" s="185" t="s">
        <v>208</v>
      </c>
      <c r="G50" s="185"/>
      <c r="H50" s="186">
        <v>-5.72</v>
      </c>
      <c r="I50" s="187"/>
      <c r="J50" s="186"/>
      <c r="K50" s="187"/>
      <c r="L50" s="186"/>
      <c r="M50" s="187"/>
      <c r="N50" s="186">
        <v>1000</v>
      </c>
      <c r="O50" s="187"/>
      <c r="P50" s="186">
        <v>0</v>
      </c>
      <c r="Q50" s="187"/>
      <c r="R50" s="186">
        <v>1000</v>
      </c>
      <c r="S50" s="187"/>
      <c r="T50" s="186">
        <v>0</v>
      </c>
      <c r="U50" s="187"/>
      <c r="V50" s="186">
        <v>0</v>
      </c>
      <c r="W50" s="187"/>
      <c r="X50" s="186">
        <v>500</v>
      </c>
      <c r="Y50" s="187"/>
      <c r="Z50" s="186">
        <v>500</v>
      </c>
      <c r="AA50" s="187"/>
      <c r="AB50" s="186">
        <v>500</v>
      </c>
      <c r="AC50" s="187"/>
      <c r="AD50" s="186">
        <v>0</v>
      </c>
      <c r="AE50" s="187"/>
      <c r="AF50" s="225">
        <f t="shared" si="3"/>
        <v>3494.2799999999997</v>
      </c>
    </row>
    <row r="51" spans="1:36" x14ac:dyDescent="0.3">
      <c r="A51" s="185"/>
      <c r="B51" s="185"/>
      <c r="C51" s="185"/>
      <c r="D51" s="185"/>
      <c r="E51" s="185"/>
      <c r="F51" s="185" t="s">
        <v>209</v>
      </c>
      <c r="G51" s="185"/>
      <c r="H51" s="186">
        <v>5541.3</v>
      </c>
      <c r="I51" s="187"/>
      <c r="J51" s="186">
        <v>2046.37</v>
      </c>
      <c r="K51" s="187"/>
      <c r="L51" s="186">
        <v>2046.37</v>
      </c>
      <c r="M51" s="187"/>
      <c r="N51" s="186">
        <v>2795.12</v>
      </c>
      <c r="O51" s="187"/>
      <c r="P51" s="186">
        <f>2113+2700</f>
        <v>4813</v>
      </c>
      <c r="Q51" s="187"/>
      <c r="R51" s="186">
        <f>2113+2700</f>
        <v>4813</v>
      </c>
      <c r="S51" s="187"/>
      <c r="T51" s="186">
        <f>2113+2700</f>
        <v>4813</v>
      </c>
      <c r="U51" s="187"/>
      <c r="V51" s="186">
        <f>2113+2700</f>
        <v>4813</v>
      </c>
      <c r="W51" s="187"/>
      <c r="X51" s="186">
        <f>2113+2700</f>
        <v>4813</v>
      </c>
      <c r="Y51" s="187"/>
      <c r="Z51" s="186">
        <f>2113+2700</f>
        <v>4813</v>
      </c>
      <c r="AA51" s="187"/>
      <c r="AB51" s="186">
        <f>2113+2700</f>
        <v>4813</v>
      </c>
      <c r="AC51" s="187"/>
      <c r="AD51" s="186">
        <f>2113+2700</f>
        <v>4813</v>
      </c>
      <c r="AE51" s="187"/>
      <c r="AF51" s="186">
        <f t="shared" si="3"/>
        <v>50933.16</v>
      </c>
      <c r="AJ51" s="122">
        <f>+AF46+AF47+AF48+AF50+AF52+AF61+AF64+AF74</f>
        <v>112092.49279999999</v>
      </c>
    </row>
    <row r="52" spans="1:36" ht="13.5" thickBot="1" x14ac:dyDescent="0.35">
      <c r="A52" s="185"/>
      <c r="B52" s="185"/>
      <c r="C52" s="185"/>
      <c r="D52" s="185"/>
      <c r="E52" s="185"/>
      <c r="F52" s="185" t="s">
        <v>210</v>
      </c>
      <c r="G52" s="185"/>
      <c r="H52" s="188">
        <v>0</v>
      </c>
      <c r="I52" s="187"/>
      <c r="J52" s="188">
        <v>1150</v>
      </c>
      <c r="K52" s="187"/>
      <c r="L52" s="188">
        <v>500</v>
      </c>
      <c r="M52" s="187"/>
      <c r="N52" s="188">
        <v>500</v>
      </c>
      <c r="O52" s="187"/>
      <c r="P52" s="188">
        <v>500</v>
      </c>
      <c r="Q52" s="187"/>
      <c r="R52" s="188">
        <v>500</v>
      </c>
      <c r="S52" s="187"/>
      <c r="T52" s="188">
        <v>500</v>
      </c>
      <c r="U52" s="187"/>
      <c r="V52" s="188">
        <v>500</v>
      </c>
      <c r="W52" s="187"/>
      <c r="X52" s="188">
        <v>500</v>
      </c>
      <c r="Y52" s="187"/>
      <c r="Z52" s="188">
        <v>500</v>
      </c>
      <c r="AA52" s="187"/>
      <c r="AB52" s="188">
        <v>500</v>
      </c>
      <c r="AC52" s="187"/>
      <c r="AD52" s="188">
        <v>500</v>
      </c>
      <c r="AE52" s="187"/>
      <c r="AF52" s="226">
        <f t="shared" si="3"/>
        <v>6150</v>
      </c>
    </row>
    <row r="53" spans="1:36" x14ac:dyDescent="0.3">
      <c r="A53" s="185"/>
      <c r="B53" s="185"/>
      <c r="C53" s="185"/>
      <c r="D53" s="185"/>
      <c r="E53" s="185" t="s">
        <v>211</v>
      </c>
      <c r="F53" s="185"/>
      <c r="G53" s="185"/>
      <c r="H53" s="186">
        <v>33297.660000000003</v>
      </c>
      <c r="I53" s="187"/>
      <c r="J53" s="186">
        <v>15557.24</v>
      </c>
      <c r="K53" s="187"/>
      <c r="L53" s="186">
        <f>SUM(L43:L52)</f>
        <v>17558.329999999998</v>
      </c>
      <c r="M53" s="187"/>
      <c r="N53" s="186">
        <f>SUM(N43:N52)</f>
        <v>15547.091199999999</v>
      </c>
      <c r="O53" s="187"/>
      <c r="P53" s="186">
        <f>SUM(P43:P52)</f>
        <v>16564.9712</v>
      </c>
      <c r="Q53" s="187"/>
      <c r="R53" s="186">
        <f>SUM(R43:R52)</f>
        <v>17564.9712</v>
      </c>
      <c r="S53" s="187"/>
      <c r="T53" s="186">
        <f>SUM(T43:T52)</f>
        <v>17661.913199999999</v>
      </c>
      <c r="U53" s="187"/>
      <c r="V53" s="186">
        <f>SUM(V43:V52)</f>
        <v>17564.9712</v>
      </c>
      <c r="W53" s="187"/>
      <c r="X53" s="186">
        <f>SUM(X43:X52)</f>
        <v>18064.9712</v>
      </c>
      <c r="Y53" s="187"/>
      <c r="Z53" s="186">
        <f>SUM(Z43:Z52)</f>
        <v>19364.9712</v>
      </c>
      <c r="AA53" s="187"/>
      <c r="AB53" s="186">
        <f>SUM(AB43:AB52)</f>
        <v>18064.9712</v>
      </c>
      <c r="AC53" s="187"/>
      <c r="AD53" s="186">
        <f>SUM(AD43:AD52)</f>
        <v>16064.9712</v>
      </c>
      <c r="AE53" s="187"/>
      <c r="AF53" s="193">
        <f>SUM(AF43:AF52)</f>
        <v>222877.03279999999</v>
      </c>
    </row>
    <row r="54" spans="1:36" x14ac:dyDescent="0.3">
      <c r="A54" s="185"/>
      <c r="B54" s="185"/>
      <c r="C54" s="185"/>
      <c r="D54" s="185"/>
      <c r="E54" s="185" t="s">
        <v>212</v>
      </c>
      <c r="F54" s="185"/>
      <c r="G54" s="185"/>
      <c r="H54" s="186"/>
      <c r="I54" s="187"/>
      <c r="J54" s="186"/>
      <c r="K54" s="187"/>
      <c r="L54" s="186"/>
      <c r="M54" s="187"/>
      <c r="N54" s="186"/>
      <c r="O54" s="187"/>
      <c r="P54" s="186"/>
      <c r="Q54" s="187"/>
      <c r="R54" s="186"/>
      <c r="S54" s="187"/>
      <c r="T54" s="186"/>
      <c r="U54" s="187"/>
      <c r="V54" s="186"/>
      <c r="W54" s="187"/>
      <c r="X54" s="186"/>
      <c r="Y54" s="187"/>
      <c r="Z54" s="186"/>
      <c r="AA54" s="187"/>
      <c r="AB54" s="186"/>
      <c r="AC54" s="187"/>
      <c r="AD54" s="186"/>
      <c r="AE54" s="187"/>
      <c r="AF54" s="186"/>
    </row>
    <row r="55" spans="1:36" x14ac:dyDescent="0.3">
      <c r="A55" s="185"/>
      <c r="B55" s="185"/>
      <c r="C55" s="185"/>
      <c r="D55" s="185"/>
      <c r="E55" s="185"/>
      <c r="F55" s="185" t="s">
        <v>213</v>
      </c>
      <c r="G55" s="185"/>
      <c r="H55" s="186">
        <v>512.77</v>
      </c>
      <c r="I55" s="187"/>
      <c r="J55" s="186">
        <v>525.51</v>
      </c>
      <c r="K55" s="187"/>
      <c r="L55" s="186">
        <v>441.37</v>
      </c>
      <c r="M55" s="187"/>
      <c r="N55" s="186">
        <v>441.37</v>
      </c>
      <c r="O55" s="187"/>
      <c r="P55" s="186">
        <v>441.37</v>
      </c>
      <c r="Q55" s="187"/>
      <c r="R55" s="186">
        <v>441.37</v>
      </c>
      <c r="S55" s="187"/>
      <c r="T55" s="186">
        <v>441.37</v>
      </c>
      <c r="U55" s="187"/>
      <c r="V55" s="186">
        <v>441.37</v>
      </c>
      <c r="W55" s="187"/>
      <c r="X55" s="186">
        <v>441.37</v>
      </c>
      <c r="Y55" s="187"/>
      <c r="Z55" s="186">
        <v>441.37</v>
      </c>
      <c r="AA55" s="187"/>
      <c r="AB55" s="186">
        <v>441.37</v>
      </c>
      <c r="AC55" s="187"/>
      <c r="AD55" s="186">
        <v>441.37</v>
      </c>
      <c r="AE55" s="187"/>
      <c r="AF55" s="228">
        <f>SUM(H55:AE55)</f>
        <v>5451.98</v>
      </c>
      <c r="AG55" s="184">
        <v>2790</v>
      </c>
    </row>
    <row r="56" spans="1:36" x14ac:dyDescent="0.3">
      <c r="A56" s="185"/>
      <c r="B56" s="185"/>
      <c r="C56" s="185"/>
      <c r="D56" s="185"/>
      <c r="E56" s="185"/>
      <c r="F56" s="185" t="s">
        <v>214</v>
      </c>
      <c r="G56" s="185"/>
      <c r="H56" s="186">
        <v>1552.48</v>
      </c>
      <c r="I56" s="187"/>
      <c r="J56" s="186">
        <v>10965</v>
      </c>
      <c r="K56" s="187"/>
      <c r="L56" s="186">
        <v>429.14</v>
      </c>
      <c r="M56" s="187"/>
      <c r="N56" s="186">
        <v>0</v>
      </c>
      <c r="O56" s="187"/>
      <c r="P56" s="186">
        <v>0</v>
      </c>
      <c r="Q56" s="187"/>
      <c r="R56" s="186">
        <v>0</v>
      </c>
      <c r="S56" s="187"/>
      <c r="T56" s="186">
        <v>0</v>
      </c>
      <c r="U56" s="187"/>
      <c r="V56" s="186">
        <v>0</v>
      </c>
      <c r="W56" s="187"/>
      <c r="X56" s="186">
        <v>0</v>
      </c>
      <c r="Y56" s="187"/>
      <c r="Z56" s="186">
        <v>0</v>
      </c>
      <c r="AA56" s="187"/>
      <c r="AB56" s="186">
        <v>1000</v>
      </c>
      <c r="AC56" s="187"/>
      <c r="AD56" s="186">
        <v>0</v>
      </c>
      <c r="AE56" s="187"/>
      <c r="AF56" s="228">
        <f t="shared" ref="AF56:AF58" si="4">SUM(H56:AE56)</f>
        <v>13946.619999999999</v>
      </c>
      <c r="AG56" s="184">
        <v>2790</v>
      </c>
    </row>
    <row r="57" spans="1:36" x14ac:dyDescent="0.3">
      <c r="A57" s="185"/>
      <c r="B57" s="185"/>
      <c r="C57" s="185"/>
      <c r="D57" s="185"/>
      <c r="E57" s="185"/>
      <c r="F57" s="185" t="s">
        <v>215</v>
      </c>
      <c r="G57" s="185"/>
      <c r="H57" s="186">
        <v>7875</v>
      </c>
      <c r="I57" s="187"/>
      <c r="J57" s="186">
        <v>7875</v>
      </c>
      <c r="K57" s="187"/>
      <c r="L57" s="186">
        <v>7875</v>
      </c>
      <c r="M57" s="187"/>
      <c r="N57" s="186">
        <v>7875</v>
      </c>
      <c r="O57" s="187"/>
      <c r="P57" s="186">
        <v>7875</v>
      </c>
      <c r="Q57" s="187"/>
      <c r="R57" s="186">
        <v>7875</v>
      </c>
      <c r="S57" s="187"/>
      <c r="T57" s="186">
        <v>7875</v>
      </c>
      <c r="U57" s="187"/>
      <c r="V57" s="186">
        <v>7875</v>
      </c>
      <c r="W57" s="187"/>
      <c r="X57" s="186">
        <v>7875</v>
      </c>
      <c r="Y57" s="187"/>
      <c r="Z57" s="186">
        <v>7875</v>
      </c>
      <c r="AA57" s="187"/>
      <c r="AB57" s="186">
        <v>7875</v>
      </c>
      <c r="AC57" s="187"/>
      <c r="AD57" s="186">
        <v>7875</v>
      </c>
      <c r="AE57" s="187"/>
      <c r="AF57" s="228">
        <f t="shared" si="4"/>
        <v>94500</v>
      </c>
      <c r="AG57" s="184">
        <v>2790</v>
      </c>
    </row>
    <row r="58" spans="1:36" ht="13.5" thickBot="1" x14ac:dyDescent="0.35">
      <c r="A58" s="185"/>
      <c r="B58" s="185"/>
      <c r="C58" s="185"/>
      <c r="D58" s="185"/>
      <c r="E58" s="185"/>
      <c r="F58" s="185" t="s">
        <v>216</v>
      </c>
      <c r="G58" s="185"/>
      <c r="H58" s="188">
        <v>130</v>
      </c>
      <c r="I58" s="187"/>
      <c r="J58" s="188">
        <v>130</v>
      </c>
      <c r="K58" s="187"/>
      <c r="L58" s="188">
        <v>130</v>
      </c>
      <c r="M58" s="187"/>
      <c r="N58" s="188">
        <f>130+595</f>
        <v>725</v>
      </c>
      <c r="O58" s="187"/>
      <c r="P58" s="188">
        <f>130+595</f>
        <v>725</v>
      </c>
      <c r="Q58" s="187"/>
      <c r="R58" s="188">
        <f>130+595</f>
        <v>725</v>
      </c>
      <c r="S58" s="187"/>
      <c r="T58" s="188">
        <f>130+595</f>
        <v>725</v>
      </c>
      <c r="U58" s="187"/>
      <c r="V58" s="188">
        <f>130+595</f>
        <v>725</v>
      </c>
      <c r="W58" s="187"/>
      <c r="X58" s="188">
        <f>130+595</f>
        <v>725</v>
      </c>
      <c r="Y58" s="187"/>
      <c r="Z58" s="188">
        <f>130+595</f>
        <v>725</v>
      </c>
      <c r="AA58" s="187"/>
      <c r="AB58" s="188">
        <f>130+595</f>
        <v>725</v>
      </c>
      <c r="AC58" s="187"/>
      <c r="AD58" s="188">
        <f>130+595</f>
        <v>725</v>
      </c>
      <c r="AE58" s="187"/>
      <c r="AF58" s="228">
        <f t="shared" si="4"/>
        <v>6915</v>
      </c>
      <c r="AG58" s="184">
        <v>2790</v>
      </c>
      <c r="AH58" s="184" t="s">
        <v>217</v>
      </c>
    </row>
    <row r="59" spans="1:36" x14ac:dyDescent="0.3">
      <c r="A59" s="185"/>
      <c r="B59" s="185"/>
      <c r="C59" s="185"/>
      <c r="D59" s="185"/>
      <c r="E59" s="185" t="s">
        <v>218</v>
      </c>
      <c r="F59" s="185"/>
      <c r="G59" s="185"/>
      <c r="H59" s="186">
        <v>10070.25</v>
      </c>
      <c r="I59" s="187"/>
      <c r="J59" s="186">
        <f>SUM(J55:J58)</f>
        <v>19495.510000000002</v>
      </c>
      <c r="K59" s="187"/>
      <c r="L59" s="186">
        <f>SUM(L55:L58)</f>
        <v>8875.51</v>
      </c>
      <c r="M59" s="187"/>
      <c r="N59" s="186">
        <f>SUM(N55:N58)</f>
        <v>9041.3700000000008</v>
      </c>
      <c r="O59" s="187"/>
      <c r="P59" s="186">
        <f>SUM(P55:P58)</f>
        <v>9041.3700000000008</v>
      </c>
      <c r="Q59" s="187"/>
      <c r="R59" s="186">
        <f>SUM(R55:R58)</f>
        <v>9041.3700000000008</v>
      </c>
      <c r="S59" s="187"/>
      <c r="T59" s="186">
        <f>SUM(T55:T58)</f>
        <v>9041.3700000000008</v>
      </c>
      <c r="U59" s="187"/>
      <c r="V59" s="186">
        <f>SUM(V55:V58)</f>
        <v>9041.3700000000008</v>
      </c>
      <c r="W59" s="187"/>
      <c r="X59" s="186">
        <f>SUM(X55:X58)</f>
        <v>9041.3700000000008</v>
      </c>
      <c r="Y59" s="187"/>
      <c r="Z59" s="186">
        <f>SUM(Z55:Z58)</f>
        <v>9041.3700000000008</v>
      </c>
      <c r="AA59" s="187"/>
      <c r="AB59" s="186">
        <f>SUM(AB55:AB58)</f>
        <v>10041.369999999999</v>
      </c>
      <c r="AC59" s="187"/>
      <c r="AD59" s="186">
        <f>SUM(AD55:AD58)</f>
        <v>9041.3700000000008</v>
      </c>
      <c r="AE59" s="187"/>
      <c r="AF59" s="193">
        <f>SUM(AF55:AF58)</f>
        <v>120813.6</v>
      </c>
    </row>
    <row r="60" spans="1:36" x14ac:dyDescent="0.3">
      <c r="A60" s="185"/>
      <c r="B60" s="185"/>
      <c r="C60" s="185"/>
      <c r="D60" s="185"/>
      <c r="E60" s="185" t="s">
        <v>219</v>
      </c>
      <c r="F60" s="185"/>
      <c r="G60" s="185"/>
      <c r="H60" s="186"/>
      <c r="I60" s="187"/>
      <c r="J60" s="186"/>
      <c r="K60" s="187"/>
      <c r="L60" s="186"/>
      <c r="M60" s="187"/>
      <c r="N60" s="186"/>
      <c r="O60" s="187"/>
      <c r="P60" s="186"/>
      <c r="Q60" s="187"/>
      <c r="R60" s="186"/>
      <c r="S60" s="187"/>
      <c r="T60" s="186"/>
      <c r="U60" s="187"/>
      <c r="V60" s="186"/>
      <c r="W60" s="187"/>
      <c r="X60" s="186"/>
      <c r="Y60" s="187"/>
      <c r="Z60" s="186"/>
      <c r="AA60" s="187"/>
      <c r="AB60" s="186"/>
      <c r="AC60" s="187"/>
      <c r="AD60" s="186"/>
      <c r="AE60" s="187"/>
      <c r="AF60" s="186"/>
    </row>
    <row r="61" spans="1:36" ht="13.5" thickBot="1" x14ac:dyDescent="0.35">
      <c r="A61" s="185"/>
      <c r="B61" s="185"/>
      <c r="C61" s="185"/>
      <c r="D61" s="185"/>
      <c r="E61" s="185"/>
      <c r="F61" s="185" t="s">
        <v>220</v>
      </c>
      <c r="G61" s="185"/>
      <c r="H61" s="188">
        <v>0</v>
      </c>
      <c r="I61" s="187"/>
      <c r="J61" s="188">
        <v>141.05000000000001</v>
      </c>
      <c r="K61" s="187"/>
      <c r="L61" s="188">
        <v>67.2</v>
      </c>
      <c r="M61" s="187"/>
      <c r="N61" s="188">
        <v>100</v>
      </c>
      <c r="O61" s="187"/>
      <c r="P61" s="188">
        <v>0</v>
      </c>
      <c r="Q61" s="187"/>
      <c r="R61" s="188">
        <v>0</v>
      </c>
      <c r="S61" s="187"/>
      <c r="T61" s="188">
        <v>100</v>
      </c>
      <c r="U61" s="187"/>
      <c r="V61" s="188">
        <v>0</v>
      </c>
      <c r="W61" s="187"/>
      <c r="X61" s="188">
        <v>0</v>
      </c>
      <c r="Y61" s="187"/>
      <c r="Z61" s="188">
        <v>100</v>
      </c>
      <c r="AA61" s="187"/>
      <c r="AB61" s="188">
        <v>0</v>
      </c>
      <c r="AC61" s="187"/>
      <c r="AD61" s="188">
        <v>0</v>
      </c>
      <c r="AE61" s="187"/>
      <c r="AF61" s="227">
        <f>SUM(H61:AE61)</f>
        <v>508.25</v>
      </c>
    </row>
    <row r="62" spans="1:36" x14ac:dyDescent="0.3">
      <c r="A62" s="185"/>
      <c r="B62" s="185"/>
      <c r="C62" s="185"/>
      <c r="D62" s="185"/>
      <c r="E62" s="185" t="s">
        <v>221</v>
      </c>
      <c r="F62" s="185"/>
      <c r="G62" s="185"/>
      <c r="H62" s="186">
        <v>0</v>
      </c>
      <c r="I62" s="187"/>
      <c r="J62" s="186">
        <v>141.05000000000001</v>
      </c>
      <c r="K62" s="187"/>
      <c r="L62" s="186">
        <v>67.2</v>
      </c>
      <c r="M62" s="187"/>
      <c r="N62" s="186">
        <f>SUM(N61)</f>
        <v>100</v>
      </c>
      <c r="O62" s="187"/>
      <c r="P62" s="186">
        <f>SUM(P61)</f>
        <v>0</v>
      </c>
      <c r="Q62" s="187"/>
      <c r="R62" s="186">
        <f>SUM(R61)</f>
        <v>0</v>
      </c>
      <c r="S62" s="187"/>
      <c r="T62" s="186">
        <f>SUM(T61)</f>
        <v>100</v>
      </c>
      <c r="U62" s="187"/>
      <c r="V62" s="186">
        <f>SUM(V61)</f>
        <v>0</v>
      </c>
      <c r="W62" s="187"/>
      <c r="X62" s="186">
        <f>SUM(X61)</f>
        <v>0</v>
      </c>
      <c r="Y62" s="187"/>
      <c r="Z62" s="186">
        <f>SUM(Z61)</f>
        <v>100</v>
      </c>
      <c r="AA62" s="187"/>
      <c r="AB62" s="186">
        <f>SUM(AB61)</f>
        <v>0</v>
      </c>
      <c r="AC62" s="187"/>
      <c r="AD62" s="186">
        <f>SUM(AD61)</f>
        <v>0</v>
      </c>
      <c r="AE62" s="187"/>
      <c r="AF62" s="193">
        <f>SUM(AF61)</f>
        <v>508.25</v>
      </c>
    </row>
    <row r="63" spans="1:36" x14ac:dyDescent="0.3">
      <c r="A63" s="185"/>
      <c r="B63" s="185"/>
      <c r="C63" s="185"/>
      <c r="D63" s="185"/>
      <c r="E63" s="185" t="s">
        <v>222</v>
      </c>
      <c r="F63" s="185"/>
      <c r="G63" s="185"/>
      <c r="H63" s="186"/>
      <c r="I63" s="187"/>
      <c r="J63" s="186"/>
      <c r="K63" s="187"/>
      <c r="L63" s="186"/>
      <c r="M63" s="187"/>
      <c r="N63" s="186"/>
      <c r="O63" s="187"/>
      <c r="P63" s="186"/>
      <c r="Q63" s="187"/>
      <c r="R63" s="186"/>
      <c r="S63" s="187"/>
      <c r="T63" s="186"/>
      <c r="U63" s="187"/>
      <c r="V63" s="186"/>
      <c r="W63" s="187"/>
      <c r="X63" s="186"/>
      <c r="Y63" s="187"/>
      <c r="Z63" s="186"/>
      <c r="AA63" s="187"/>
      <c r="AB63" s="186"/>
      <c r="AC63" s="187"/>
      <c r="AD63" s="186"/>
      <c r="AE63" s="187"/>
      <c r="AF63" s="186"/>
    </row>
    <row r="64" spans="1:36" x14ac:dyDescent="0.3">
      <c r="A64" s="185"/>
      <c r="B64" s="185"/>
      <c r="C64" s="185"/>
      <c r="D64" s="185"/>
      <c r="E64" s="185"/>
      <c r="F64" s="185" t="s">
        <v>223</v>
      </c>
      <c r="G64" s="185"/>
      <c r="H64" s="186">
        <v>1349.57</v>
      </c>
      <c r="I64" s="187"/>
      <c r="J64" s="186">
        <v>950.68</v>
      </c>
      <c r="K64" s="187"/>
      <c r="L64" s="186">
        <v>0</v>
      </c>
      <c r="M64" s="187"/>
      <c r="N64" s="186">
        <v>0</v>
      </c>
      <c r="O64" s="187"/>
      <c r="P64" s="186">
        <v>0</v>
      </c>
      <c r="Q64" s="187"/>
      <c r="R64" s="186">
        <v>0</v>
      </c>
      <c r="S64" s="187"/>
      <c r="T64" s="186">
        <v>0</v>
      </c>
      <c r="U64" s="187"/>
      <c r="V64" s="186">
        <v>0</v>
      </c>
      <c r="W64" s="187"/>
      <c r="X64" s="186">
        <v>0</v>
      </c>
      <c r="Y64" s="187"/>
      <c r="Z64" s="186">
        <v>1000</v>
      </c>
      <c r="AA64" s="187"/>
      <c r="AB64" s="186">
        <v>1000</v>
      </c>
      <c r="AC64" s="187"/>
      <c r="AD64" s="186">
        <v>1000</v>
      </c>
      <c r="AE64" s="187"/>
      <c r="AF64" s="225">
        <f>SUM(H64:AE64)</f>
        <v>5300.25</v>
      </c>
    </row>
    <row r="65" spans="1:34" ht="13.5" thickBot="1" x14ac:dyDescent="0.35">
      <c r="A65" s="185"/>
      <c r="B65" s="185"/>
      <c r="C65" s="185"/>
      <c r="D65" s="185"/>
      <c r="E65" s="185"/>
      <c r="F65" s="185" t="s">
        <v>224</v>
      </c>
      <c r="G65" s="185"/>
      <c r="H65" s="188">
        <v>319.95</v>
      </c>
      <c r="I65" s="187"/>
      <c r="J65" s="188">
        <v>319.95</v>
      </c>
      <c r="K65" s="187"/>
      <c r="L65" s="188">
        <v>319.95</v>
      </c>
      <c r="M65" s="187"/>
      <c r="N65" s="188">
        <v>319.95</v>
      </c>
      <c r="O65" s="187"/>
      <c r="P65" s="188">
        <v>319.95</v>
      </c>
      <c r="Q65" s="187"/>
      <c r="R65" s="188">
        <v>319.95</v>
      </c>
      <c r="S65" s="187"/>
      <c r="T65" s="188">
        <v>319.95</v>
      </c>
      <c r="U65" s="187"/>
      <c r="V65" s="188">
        <v>319.95</v>
      </c>
      <c r="W65" s="187"/>
      <c r="X65" s="188">
        <v>319.95</v>
      </c>
      <c r="Y65" s="187"/>
      <c r="Z65" s="188">
        <v>319.95</v>
      </c>
      <c r="AA65" s="187"/>
      <c r="AB65" s="188">
        <v>319.95</v>
      </c>
      <c r="AC65" s="187"/>
      <c r="AD65" s="188">
        <v>319.95</v>
      </c>
      <c r="AE65" s="187"/>
      <c r="AF65" s="229">
        <f>SUM(H65:AE65)</f>
        <v>3839.3999999999992</v>
      </c>
      <c r="AG65" s="184">
        <v>2790</v>
      </c>
    </row>
    <row r="66" spans="1:34" x14ac:dyDescent="0.3">
      <c r="A66" s="185"/>
      <c r="B66" s="185"/>
      <c r="C66" s="185"/>
      <c r="D66" s="185"/>
      <c r="E66" s="185" t="s">
        <v>225</v>
      </c>
      <c r="F66" s="185"/>
      <c r="G66" s="185"/>
      <c r="H66" s="186">
        <v>1669.52</v>
      </c>
      <c r="I66" s="187"/>
      <c r="J66" s="186">
        <v>1270.6300000000001</v>
      </c>
      <c r="K66" s="187"/>
      <c r="L66" s="186">
        <f>SUM(L64:L65)</f>
        <v>319.95</v>
      </c>
      <c r="M66" s="187"/>
      <c r="N66" s="186">
        <f>SUM(N64:N65)</f>
        <v>319.95</v>
      </c>
      <c r="O66" s="187"/>
      <c r="P66" s="186">
        <f>SUM(P64:P65)</f>
        <v>319.95</v>
      </c>
      <c r="Q66" s="187"/>
      <c r="R66" s="186">
        <f>SUM(R64:R65)</f>
        <v>319.95</v>
      </c>
      <c r="S66" s="187"/>
      <c r="T66" s="186">
        <f>SUM(T64:T65)</f>
        <v>319.95</v>
      </c>
      <c r="U66" s="187"/>
      <c r="V66" s="186">
        <f>SUM(V64:V65)</f>
        <v>319.95</v>
      </c>
      <c r="W66" s="187"/>
      <c r="X66" s="186">
        <f>SUM(X64:X65)</f>
        <v>319.95</v>
      </c>
      <c r="Y66" s="187"/>
      <c r="Z66" s="186">
        <f>SUM(Z64:Z65)</f>
        <v>1319.95</v>
      </c>
      <c r="AA66" s="187"/>
      <c r="AB66" s="186">
        <f>SUM(AB64:AB65)</f>
        <v>1319.95</v>
      </c>
      <c r="AC66" s="187"/>
      <c r="AD66" s="186">
        <f>SUM(AD64:AD65)</f>
        <v>1319.95</v>
      </c>
      <c r="AE66" s="187"/>
      <c r="AF66" s="193">
        <f>SUM(AF64:AF65)</f>
        <v>9139.65</v>
      </c>
    </row>
    <row r="67" spans="1:34" x14ac:dyDescent="0.3">
      <c r="A67" s="185"/>
      <c r="B67" s="185"/>
      <c r="C67" s="185"/>
      <c r="D67" s="185"/>
      <c r="E67" s="185" t="s">
        <v>226</v>
      </c>
      <c r="F67" s="185"/>
      <c r="G67" s="185"/>
      <c r="H67" s="186"/>
      <c r="I67" s="187"/>
      <c r="J67" s="186"/>
      <c r="K67" s="187"/>
      <c r="L67" s="186"/>
      <c r="M67" s="187"/>
      <c r="N67" s="186"/>
      <c r="O67" s="187"/>
      <c r="P67" s="186"/>
      <c r="Q67" s="187"/>
      <c r="R67" s="186"/>
      <c r="S67" s="187"/>
      <c r="T67" s="186"/>
      <c r="U67" s="187"/>
      <c r="V67" s="186"/>
      <c r="W67" s="187"/>
      <c r="X67" s="186"/>
      <c r="Y67" s="187"/>
      <c r="Z67" s="186"/>
      <c r="AA67" s="187"/>
      <c r="AB67" s="186"/>
      <c r="AC67" s="187"/>
      <c r="AD67" s="186"/>
      <c r="AE67" s="187"/>
      <c r="AF67" s="186"/>
    </row>
    <row r="68" spans="1:34" x14ac:dyDescent="0.3">
      <c r="A68" s="185"/>
      <c r="B68" s="185"/>
      <c r="C68" s="185"/>
      <c r="D68" s="185"/>
      <c r="E68" s="185"/>
      <c r="F68" s="185" t="s">
        <v>227</v>
      </c>
      <c r="G68" s="185"/>
      <c r="H68" s="186">
        <v>1012.8</v>
      </c>
      <c r="I68" s="187"/>
      <c r="J68" s="186">
        <v>1382.4</v>
      </c>
      <c r="K68" s="187"/>
      <c r="L68" s="186">
        <v>1382.4</v>
      </c>
      <c r="M68" s="187"/>
      <c r="N68" s="186">
        <v>1382.4</v>
      </c>
      <c r="O68" s="187"/>
      <c r="P68" s="186">
        <v>1382.4</v>
      </c>
      <c r="Q68" s="187"/>
      <c r="R68" s="186">
        <v>1382.4</v>
      </c>
      <c r="S68" s="187"/>
      <c r="T68" s="186">
        <v>1382.4</v>
      </c>
      <c r="U68" s="187"/>
      <c r="V68" s="186">
        <v>1382.4</v>
      </c>
      <c r="W68" s="187"/>
      <c r="X68" s="186">
        <v>1382.4</v>
      </c>
      <c r="Y68" s="187"/>
      <c r="Z68" s="186">
        <v>1382.4</v>
      </c>
      <c r="AA68" s="187"/>
      <c r="AB68" s="186">
        <v>1382.4</v>
      </c>
      <c r="AC68" s="187"/>
      <c r="AD68" s="186">
        <v>1382.4</v>
      </c>
      <c r="AE68" s="187"/>
      <c r="AF68" s="228">
        <f>SUM(H68:AE68)</f>
        <v>16219.199999999997</v>
      </c>
      <c r="AG68" s="184">
        <v>2790</v>
      </c>
    </row>
    <row r="69" spans="1:34" x14ac:dyDescent="0.3">
      <c r="A69" s="185"/>
      <c r="B69" s="185"/>
      <c r="C69" s="185"/>
      <c r="D69" s="185"/>
      <c r="E69" s="185"/>
      <c r="F69" s="185" t="s">
        <v>228</v>
      </c>
      <c r="G69" s="185"/>
      <c r="H69" s="186">
        <v>35.81</v>
      </c>
      <c r="I69" s="187"/>
      <c r="J69" s="186">
        <v>155.16</v>
      </c>
      <c r="K69" s="187"/>
      <c r="L69" s="186">
        <v>155.16</v>
      </c>
      <c r="M69" s="187"/>
      <c r="N69" s="186">
        <v>155.16</v>
      </c>
      <c r="O69" s="187"/>
      <c r="P69" s="186">
        <v>155.16</v>
      </c>
      <c r="Q69" s="187"/>
      <c r="R69" s="186">
        <v>155.16</v>
      </c>
      <c r="S69" s="187"/>
      <c r="T69" s="186">
        <v>155.16</v>
      </c>
      <c r="U69" s="187"/>
      <c r="V69" s="186">
        <v>155.16</v>
      </c>
      <c r="W69" s="187"/>
      <c r="X69" s="186">
        <v>155.16</v>
      </c>
      <c r="Y69" s="187"/>
      <c r="Z69" s="186">
        <v>155.16</v>
      </c>
      <c r="AA69" s="187"/>
      <c r="AB69" s="186">
        <v>155.16</v>
      </c>
      <c r="AC69" s="187"/>
      <c r="AD69" s="186">
        <v>155.16</v>
      </c>
      <c r="AE69" s="187"/>
      <c r="AF69" s="228">
        <f t="shared" ref="AF69:AF71" si="5">SUM(H69:AE69)</f>
        <v>1742.5700000000002</v>
      </c>
      <c r="AG69" s="184">
        <v>2790</v>
      </c>
    </row>
    <row r="70" spans="1:34" x14ac:dyDescent="0.3">
      <c r="A70" s="185"/>
      <c r="B70" s="185"/>
      <c r="C70" s="185"/>
      <c r="D70" s="185"/>
      <c r="E70" s="185"/>
      <c r="F70" s="185" t="s">
        <v>229</v>
      </c>
      <c r="G70" s="185"/>
      <c r="H70" s="186">
        <v>0</v>
      </c>
      <c r="I70" s="187"/>
      <c r="J70" s="186">
        <v>0</v>
      </c>
      <c r="K70" s="187"/>
      <c r="L70" s="186">
        <v>0</v>
      </c>
      <c r="M70" s="187"/>
      <c r="N70" s="186">
        <v>800</v>
      </c>
      <c r="O70" s="187"/>
      <c r="P70" s="186">
        <v>800</v>
      </c>
      <c r="Q70" s="187"/>
      <c r="R70" s="186">
        <v>800</v>
      </c>
      <c r="S70" s="187"/>
      <c r="T70" s="186">
        <v>800</v>
      </c>
      <c r="U70" s="187"/>
      <c r="V70" s="186">
        <v>800</v>
      </c>
      <c r="W70" s="187"/>
      <c r="X70" s="186">
        <v>800</v>
      </c>
      <c r="Y70" s="187"/>
      <c r="Z70" s="186">
        <v>0</v>
      </c>
      <c r="AA70" s="187"/>
      <c r="AB70" s="186">
        <v>0</v>
      </c>
      <c r="AC70" s="187"/>
      <c r="AD70" s="186">
        <v>0</v>
      </c>
      <c r="AE70" s="187"/>
      <c r="AF70" s="228">
        <f t="shared" si="5"/>
        <v>4800</v>
      </c>
      <c r="AG70" s="184">
        <v>2790</v>
      </c>
    </row>
    <row r="71" spans="1:34" ht="13.5" thickBot="1" x14ac:dyDescent="0.35">
      <c r="A71" s="185"/>
      <c r="B71" s="185"/>
      <c r="C71" s="185"/>
      <c r="D71" s="185"/>
      <c r="E71" s="185"/>
      <c r="F71" s="185" t="s">
        <v>230</v>
      </c>
      <c r="G71" s="185"/>
      <c r="H71" s="188">
        <v>0</v>
      </c>
      <c r="I71" s="187"/>
      <c r="J71" s="188">
        <v>0</v>
      </c>
      <c r="K71" s="187"/>
      <c r="L71" s="188">
        <v>0</v>
      </c>
      <c r="M71" s="187"/>
      <c r="N71" s="188">
        <v>0</v>
      </c>
      <c r="O71" s="187"/>
      <c r="P71" s="188">
        <v>0</v>
      </c>
      <c r="Q71" s="187"/>
      <c r="R71" s="188">
        <v>0</v>
      </c>
      <c r="S71" s="187"/>
      <c r="T71" s="188">
        <v>0</v>
      </c>
      <c r="U71" s="187"/>
      <c r="V71" s="188">
        <v>0</v>
      </c>
      <c r="W71" s="187"/>
      <c r="X71" s="188">
        <v>0</v>
      </c>
      <c r="Y71" s="187"/>
      <c r="Z71" s="188">
        <v>0</v>
      </c>
      <c r="AA71" s="187"/>
      <c r="AB71" s="188">
        <v>0</v>
      </c>
      <c r="AC71" s="187"/>
      <c r="AD71" s="188">
        <v>0</v>
      </c>
      <c r="AE71" s="187"/>
      <c r="AF71" s="186">
        <f t="shared" si="5"/>
        <v>0</v>
      </c>
    </row>
    <row r="72" spans="1:34" x14ac:dyDescent="0.3">
      <c r="A72" s="185"/>
      <c r="B72" s="185"/>
      <c r="C72" s="185"/>
      <c r="D72" s="185"/>
      <c r="E72" s="185" t="s">
        <v>231</v>
      </c>
      <c r="F72" s="185"/>
      <c r="G72" s="185"/>
      <c r="H72" s="186">
        <v>1048.6099999999999</v>
      </c>
      <c r="I72" s="187"/>
      <c r="J72" s="186">
        <v>1537.56</v>
      </c>
      <c r="K72" s="187"/>
      <c r="L72" s="186">
        <f>SUM(L68:L71)</f>
        <v>1537.5600000000002</v>
      </c>
      <c r="M72" s="187"/>
      <c r="N72" s="186">
        <f>SUM(N68:N71)</f>
        <v>2337.5600000000004</v>
      </c>
      <c r="O72" s="187"/>
      <c r="P72" s="186">
        <f>SUM(P68:P71)</f>
        <v>2337.5600000000004</v>
      </c>
      <c r="Q72" s="187"/>
      <c r="R72" s="186">
        <f>SUM(R68:R71)</f>
        <v>2337.5600000000004</v>
      </c>
      <c r="S72" s="187"/>
      <c r="T72" s="186">
        <f>SUM(T68:T71)</f>
        <v>2337.5600000000004</v>
      </c>
      <c r="U72" s="187"/>
      <c r="V72" s="186">
        <f>SUM(V68:V71)</f>
        <v>2337.5600000000004</v>
      </c>
      <c r="W72" s="187"/>
      <c r="X72" s="186">
        <f>SUM(X68:X71)</f>
        <v>2337.5600000000004</v>
      </c>
      <c r="Y72" s="187"/>
      <c r="Z72" s="186">
        <f>SUM(Z68:Z71)</f>
        <v>1537.5600000000002</v>
      </c>
      <c r="AA72" s="187"/>
      <c r="AB72" s="186">
        <f>SUM(AB68:AB71)</f>
        <v>1537.5600000000002</v>
      </c>
      <c r="AC72" s="187"/>
      <c r="AD72" s="186">
        <f>SUM(AD68:AD71)</f>
        <v>1537.5600000000002</v>
      </c>
      <c r="AE72" s="187"/>
      <c r="AF72" s="193">
        <f>SUM(AF68:AF71)</f>
        <v>22761.769999999997</v>
      </c>
    </row>
    <row r="73" spans="1:34" x14ac:dyDescent="0.3">
      <c r="A73" s="185"/>
      <c r="B73" s="185"/>
      <c r="C73" s="185"/>
      <c r="D73" s="185"/>
      <c r="E73" s="185" t="s">
        <v>232</v>
      </c>
      <c r="F73" s="185"/>
      <c r="G73" s="185"/>
      <c r="H73" s="186"/>
      <c r="I73" s="187"/>
      <c r="J73" s="186"/>
      <c r="K73" s="187"/>
      <c r="L73" s="186"/>
      <c r="M73" s="187"/>
      <c r="N73" s="186"/>
      <c r="O73" s="187"/>
      <c r="P73" s="186"/>
      <c r="Q73" s="187"/>
      <c r="R73" s="186"/>
      <c r="S73" s="187"/>
      <c r="T73" s="186"/>
      <c r="U73" s="187"/>
      <c r="V73" s="186"/>
      <c r="W73" s="187"/>
      <c r="X73" s="186"/>
      <c r="Y73" s="187"/>
      <c r="Z73" s="186"/>
      <c r="AA73" s="187"/>
      <c r="AB73" s="186"/>
      <c r="AC73" s="187"/>
      <c r="AD73" s="186"/>
      <c r="AE73" s="187"/>
      <c r="AF73" s="186"/>
    </row>
    <row r="74" spans="1:34" x14ac:dyDescent="0.3">
      <c r="A74" s="185"/>
      <c r="B74" s="185"/>
      <c r="C74" s="185"/>
      <c r="D74" s="185"/>
      <c r="E74" s="185"/>
      <c r="F74" s="185" t="s">
        <v>233</v>
      </c>
      <c r="G74" s="185"/>
      <c r="H74" s="186">
        <v>436.61</v>
      </c>
      <c r="I74" s="187"/>
      <c r="J74" s="186">
        <v>583.47</v>
      </c>
      <c r="K74" s="187"/>
      <c r="L74" s="186">
        <v>1326.04</v>
      </c>
      <c r="M74" s="187"/>
      <c r="N74" s="186">
        <f>1600+1000</f>
        <v>2600</v>
      </c>
      <c r="O74" s="187"/>
      <c r="P74" s="186">
        <f>1600+1000</f>
        <v>2600</v>
      </c>
      <c r="Q74" s="187"/>
      <c r="R74" s="186">
        <f>1600+1000</f>
        <v>2600</v>
      </c>
      <c r="S74" s="187"/>
      <c r="T74" s="186">
        <f>1600+1000</f>
        <v>2600</v>
      </c>
      <c r="U74" s="187"/>
      <c r="V74" s="186">
        <f>1600+1000</f>
        <v>2600</v>
      </c>
      <c r="W74" s="187"/>
      <c r="X74" s="186">
        <f>1600+1000</f>
        <v>2600</v>
      </c>
      <c r="Y74" s="187"/>
      <c r="Z74" s="186">
        <f>1600+1000</f>
        <v>2600</v>
      </c>
      <c r="AA74" s="187"/>
      <c r="AB74" s="186">
        <f>1600+1000</f>
        <v>2600</v>
      </c>
      <c r="AC74" s="187"/>
      <c r="AD74" s="186">
        <f>1600+1000</f>
        <v>2600</v>
      </c>
      <c r="AE74" s="187"/>
      <c r="AF74" s="225">
        <f>SUM(H74:AE74)</f>
        <v>25746.12</v>
      </c>
    </row>
    <row r="75" spans="1:34" ht="13.5" thickBot="1" x14ac:dyDescent="0.35">
      <c r="A75" s="185"/>
      <c r="B75" s="185"/>
      <c r="C75" s="185"/>
      <c r="D75" s="185"/>
      <c r="E75" s="185"/>
      <c r="F75" s="185" t="s">
        <v>234</v>
      </c>
      <c r="G75" s="185"/>
      <c r="H75" s="188">
        <v>0</v>
      </c>
      <c r="I75" s="187"/>
      <c r="J75" s="188">
        <v>5699.25</v>
      </c>
      <c r="K75" s="187"/>
      <c r="L75" s="188">
        <v>12500</v>
      </c>
      <c r="M75" s="187"/>
      <c r="N75" s="188">
        <v>12500</v>
      </c>
      <c r="O75" s="187"/>
      <c r="P75" s="188">
        <v>12500</v>
      </c>
      <c r="Q75" s="187"/>
      <c r="R75" s="188">
        <f>12500-5699.25+2000</f>
        <v>8800.75</v>
      </c>
      <c r="S75" s="187"/>
      <c r="T75" s="188">
        <v>12500</v>
      </c>
      <c r="U75" s="187"/>
      <c r="V75" s="188">
        <v>12500</v>
      </c>
      <c r="W75" s="187"/>
      <c r="X75" s="188">
        <v>12500</v>
      </c>
      <c r="Y75" s="187"/>
      <c r="Z75" s="188">
        <v>12500</v>
      </c>
      <c r="AA75" s="187"/>
      <c r="AB75" s="188">
        <v>12500</v>
      </c>
      <c r="AC75" s="187"/>
      <c r="AD75" s="188">
        <v>0</v>
      </c>
      <c r="AE75" s="187"/>
      <c r="AF75" s="229">
        <f>SUM(H75:AE75)</f>
        <v>114500</v>
      </c>
      <c r="AG75" s="184">
        <v>3190</v>
      </c>
    </row>
    <row r="76" spans="1:34" x14ac:dyDescent="0.3">
      <c r="A76" s="185"/>
      <c r="B76" s="185"/>
      <c r="C76" s="185"/>
      <c r="D76" s="185"/>
      <c r="E76" s="185" t="s">
        <v>235</v>
      </c>
      <c r="F76" s="185"/>
      <c r="G76" s="185"/>
      <c r="H76" s="186">
        <v>436.61</v>
      </c>
      <c r="I76" s="187"/>
      <c r="J76" s="186">
        <v>6282.72</v>
      </c>
      <c r="K76" s="187"/>
      <c r="L76" s="186">
        <f>SUM(L74:L75)</f>
        <v>13826.04</v>
      </c>
      <c r="M76" s="187"/>
      <c r="N76" s="186">
        <f>SUM(N74:N75)</f>
        <v>15100</v>
      </c>
      <c r="O76" s="187"/>
      <c r="P76" s="186">
        <f>SUM(P74:P75)</f>
        <v>15100</v>
      </c>
      <c r="Q76" s="187"/>
      <c r="R76" s="186">
        <f>SUM(R74:R75)</f>
        <v>11400.75</v>
      </c>
      <c r="S76" s="187"/>
      <c r="T76" s="186">
        <f>SUM(T74:T75)</f>
        <v>15100</v>
      </c>
      <c r="U76" s="187"/>
      <c r="V76" s="186">
        <f>SUM(V74:V75)</f>
        <v>15100</v>
      </c>
      <c r="W76" s="187"/>
      <c r="X76" s="186">
        <f>SUM(X74:X75)</f>
        <v>15100</v>
      </c>
      <c r="Y76" s="187"/>
      <c r="Z76" s="186">
        <f>SUM(Z74:Z75)</f>
        <v>15100</v>
      </c>
      <c r="AA76" s="187"/>
      <c r="AB76" s="186">
        <f>SUM(AB74:AB75)</f>
        <v>15100</v>
      </c>
      <c r="AC76" s="187"/>
      <c r="AD76" s="186">
        <f>SUM(AD74:AD75)</f>
        <v>2600</v>
      </c>
      <c r="AE76" s="187"/>
      <c r="AF76" s="193">
        <f>SUM(AF74:AF75)</f>
        <v>140246.12</v>
      </c>
    </row>
    <row r="77" spans="1:34" x14ac:dyDescent="0.3">
      <c r="A77" s="185"/>
      <c r="B77" s="185"/>
      <c r="C77" s="185"/>
      <c r="D77" s="185"/>
      <c r="E77" s="185" t="s">
        <v>236</v>
      </c>
      <c r="F77" s="185"/>
      <c r="G77" s="185"/>
      <c r="H77" s="186"/>
      <c r="I77" s="187"/>
      <c r="J77" s="186"/>
      <c r="K77" s="187"/>
      <c r="L77" s="186"/>
      <c r="M77" s="187"/>
      <c r="N77" s="186"/>
      <c r="O77" s="187"/>
      <c r="P77" s="186"/>
      <c r="Q77" s="187"/>
      <c r="R77" s="186"/>
      <c r="S77" s="187"/>
      <c r="T77" s="186"/>
      <c r="U77" s="187"/>
      <c r="V77" s="186"/>
      <c r="W77" s="187"/>
      <c r="X77" s="186"/>
      <c r="Y77" s="187"/>
      <c r="Z77" s="186"/>
      <c r="AA77" s="187"/>
      <c r="AB77" s="186"/>
      <c r="AC77" s="187"/>
      <c r="AD77" s="186"/>
      <c r="AE77" s="187"/>
      <c r="AF77" s="186"/>
    </row>
    <row r="78" spans="1:34" ht="13.5" thickBot="1" x14ac:dyDescent="0.35">
      <c r="A78" s="185"/>
      <c r="B78" s="185"/>
      <c r="C78" s="185"/>
      <c r="D78" s="185"/>
      <c r="E78" s="185"/>
      <c r="F78" s="185" t="s">
        <v>237</v>
      </c>
      <c r="G78" s="185"/>
      <c r="H78" s="188">
        <v>0</v>
      </c>
      <c r="I78" s="187"/>
      <c r="J78" s="188">
        <v>0</v>
      </c>
      <c r="K78" s="187"/>
      <c r="L78" s="188">
        <v>5500</v>
      </c>
      <c r="M78" s="187"/>
      <c r="N78" s="188">
        <f>100650/9</f>
        <v>11183.333333333334</v>
      </c>
      <c r="O78" s="187"/>
      <c r="P78" s="188">
        <f>100650/9</f>
        <v>11183.333333333334</v>
      </c>
      <c r="Q78" s="187"/>
      <c r="R78" s="188">
        <f>100650/9</f>
        <v>11183.333333333334</v>
      </c>
      <c r="S78" s="187"/>
      <c r="T78" s="188">
        <f>100650/9</f>
        <v>11183.333333333334</v>
      </c>
      <c r="U78" s="187"/>
      <c r="V78" s="188">
        <f>100650/9</f>
        <v>11183.333333333334</v>
      </c>
      <c r="W78" s="187"/>
      <c r="X78" s="188">
        <f>100650/9</f>
        <v>11183.333333333334</v>
      </c>
      <c r="Y78" s="187"/>
      <c r="Z78" s="188">
        <f>100650/9</f>
        <v>11183.333333333334</v>
      </c>
      <c r="AA78" s="187"/>
      <c r="AB78" s="188">
        <f>100650/9</f>
        <v>11183.333333333334</v>
      </c>
      <c r="AC78" s="187"/>
      <c r="AD78" s="188">
        <f>100650/9-5500</f>
        <v>5683.3333333333339</v>
      </c>
      <c r="AE78" s="187"/>
      <c r="AF78" s="229">
        <f>SUM(H78:AE78)</f>
        <v>100650</v>
      </c>
      <c r="AG78" s="184">
        <v>2890</v>
      </c>
      <c r="AH78" s="122">
        <f>+AF53+AF59+AF62+AF66+AF72+AF76+AF79+AF100+AF103</f>
        <v>638584.42280000006</v>
      </c>
    </row>
    <row r="79" spans="1:34" x14ac:dyDescent="0.3">
      <c r="A79" s="185"/>
      <c r="B79" s="185"/>
      <c r="C79" s="185"/>
      <c r="D79" s="185"/>
      <c r="E79" s="185" t="s">
        <v>238</v>
      </c>
      <c r="F79" s="185"/>
      <c r="G79" s="185"/>
      <c r="H79" s="186">
        <v>0</v>
      </c>
      <c r="I79" s="187"/>
      <c r="J79" s="186">
        <v>0</v>
      </c>
      <c r="K79" s="187"/>
      <c r="L79" s="186">
        <v>5500</v>
      </c>
      <c r="M79" s="187"/>
      <c r="N79" s="186">
        <f>SUM(N78)</f>
        <v>11183.333333333334</v>
      </c>
      <c r="O79" s="187"/>
      <c r="P79" s="186">
        <f>SUM(P78)</f>
        <v>11183.333333333334</v>
      </c>
      <c r="Q79" s="187"/>
      <c r="R79" s="186">
        <f>SUM(R78)</f>
        <v>11183.333333333334</v>
      </c>
      <c r="S79" s="187"/>
      <c r="T79" s="186">
        <f>SUM(T78)</f>
        <v>11183.333333333334</v>
      </c>
      <c r="U79" s="187"/>
      <c r="V79" s="186">
        <f>SUM(V78)</f>
        <v>11183.333333333334</v>
      </c>
      <c r="W79" s="187"/>
      <c r="X79" s="186">
        <f>SUM(X78)</f>
        <v>11183.333333333334</v>
      </c>
      <c r="Y79" s="187"/>
      <c r="Z79" s="186">
        <f>SUM(Z78)</f>
        <v>11183.333333333334</v>
      </c>
      <c r="AA79" s="187"/>
      <c r="AB79" s="186">
        <f>SUM(AB78)</f>
        <v>11183.333333333334</v>
      </c>
      <c r="AC79" s="187"/>
      <c r="AD79" s="186">
        <f>SUM(AD78)</f>
        <v>5683.3333333333339</v>
      </c>
      <c r="AE79" s="187"/>
      <c r="AF79" s="193">
        <f>SUM(AF78)</f>
        <v>100650</v>
      </c>
      <c r="AH79" s="184">
        <v>635280</v>
      </c>
    </row>
    <row r="80" spans="1:34" x14ac:dyDescent="0.3">
      <c r="A80" s="185"/>
      <c r="B80" s="185"/>
      <c r="C80" s="185"/>
      <c r="D80" s="185"/>
      <c r="E80" s="185" t="s">
        <v>239</v>
      </c>
      <c r="F80" s="185"/>
      <c r="G80" s="185"/>
      <c r="H80" s="186"/>
      <c r="I80" s="187"/>
      <c r="J80" s="186"/>
      <c r="K80" s="187"/>
      <c r="L80" s="186"/>
      <c r="M80" s="187"/>
      <c r="N80" s="186"/>
      <c r="O80" s="187"/>
      <c r="P80" s="186"/>
      <c r="Q80" s="187"/>
      <c r="R80" s="186"/>
      <c r="S80" s="187"/>
      <c r="T80" s="186"/>
      <c r="U80" s="187"/>
      <c r="V80" s="186"/>
      <c r="W80" s="187"/>
      <c r="X80" s="186"/>
      <c r="Y80" s="187"/>
      <c r="Z80" s="186"/>
      <c r="AA80" s="187"/>
      <c r="AB80" s="186"/>
      <c r="AC80" s="187"/>
      <c r="AD80" s="186"/>
      <c r="AE80" s="187"/>
      <c r="AF80" s="186"/>
      <c r="AH80" s="122">
        <f>+AH78-AH79</f>
        <v>3304.4228000000585</v>
      </c>
    </row>
    <row r="81" spans="1:32" x14ac:dyDescent="0.3">
      <c r="A81" s="185"/>
      <c r="B81" s="185"/>
      <c r="C81" s="185"/>
      <c r="D81" s="185"/>
      <c r="E81" s="185"/>
      <c r="F81" s="185" t="s">
        <v>240</v>
      </c>
      <c r="G81" s="185"/>
      <c r="H81" s="186"/>
      <c r="I81" s="187"/>
      <c r="J81" s="186"/>
      <c r="K81" s="187"/>
      <c r="L81" s="186"/>
      <c r="M81" s="187"/>
      <c r="N81" s="186"/>
      <c r="O81" s="187"/>
      <c r="P81" s="186"/>
      <c r="Q81" s="187"/>
      <c r="R81" s="186"/>
      <c r="S81" s="187"/>
      <c r="T81" s="186"/>
      <c r="U81" s="187"/>
      <c r="V81" s="186"/>
      <c r="W81" s="187"/>
      <c r="X81" s="186"/>
      <c r="Y81" s="187"/>
      <c r="Z81" s="186"/>
      <c r="AA81" s="187"/>
      <c r="AB81" s="186"/>
      <c r="AC81" s="187"/>
      <c r="AD81" s="186"/>
      <c r="AE81" s="187"/>
      <c r="AF81" s="186"/>
    </row>
    <row r="82" spans="1:32" x14ac:dyDescent="0.3">
      <c r="A82" s="185"/>
      <c r="B82" s="185"/>
      <c r="C82" s="185"/>
      <c r="D82" s="185"/>
      <c r="E82" s="185"/>
      <c r="F82" s="185"/>
      <c r="G82" s="185" t="s">
        <v>241</v>
      </c>
      <c r="H82" s="186">
        <v>-437.88</v>
      </c>
      <c r="I82" s="187"/>
      <c r="J82" s="186">
        <v>4011.42</v>
      </c>
      <c r="K82" s="187"/>
      <c r="L82" s="186">
        <v>3000</v>
      </c>
      <c r="M82" s="187"/>
      <c r="N82" s="186">
        <v>0</v>
      </c>
      <c r="O82" s="187"/>
      <c r="P82" s="186">
        <v>0</v>
      </c>
      <c r="Q82" s="187"/>
      <c r="R82" s="186">
        <v>0</v>
      </c>
      <c r="S82" s="187"/>
      <c r="T82" s="186">
        <v>1500</v>
      </c>
      <c r="U82" s="187"/>
      <c r="V82" s="186">
        <v>0</v>
      </c>
      <c r="W82" s="187"/>
      <c r="X82" s="186">
        <v>1500</v>
      </c>
      <c r="Y82" s="187"/>
      <c r="Z82" s="186">
        <v>0</v>
      </c>
      <c r="AA82" s="187"/>
      <c r="AB82" s="186">
        <v>1500</v>
      </c>
      <c r="AC82" s="187"/>
      <c r="AD82" s="186">
        <v>0</v>
      </c>
      <c r="AE82" s="187"/>
      <c r="AF82" s="186">
        <f>SUM(H82:AE82)</f>
        <v>11073.54</v>
      </c>
    </row>
    <row r="83" spans="1:32" x14ac:dyDescent="0.3">
      <c r="A83" s="185"/>
      <c r="B83" s="185"/>
      <c r="C83" s="185"/>
      <c r="D83" s="185"/>
      <c r="E83" s="185"/>
      <c r="F83" s="185"/>
      <c r="G83" s="185" t="s">
        <v>242</v>
      </c>
      <c r="H83" s="186">
        <v>2456.23</v>
      </c>
      <c r="I83" s="187"/>
      <c r="J83" s="186">
        <v>918.25</v>
      </c>
      <c r="K83" s="187"/>
      <c r="L83" s="186">
        <v>0</v>
      </c>
      <c r="M83" s="187"/>
      <c r="N83" s="186">
        <v>0</v>
      </c>
      <c r="O83" s="187"/>
      <c r="P83" s="186">
        <v>0</v>
      </c>
      <c r="Q83" s="187"/>
      <c r="R83" s="186">
        <v>0</v>
      </c>
      <c r="S83" s="187"/>
      <c r="T83" s="186">
        <v>0</v>
      </c>
      <c r="U83" s="187"/>
      <c r="V83" s="186">
        <v>0</v>
      </c>
      <c r="W83" s="187"/>
      <c r="X83" s="186">
        <v>0</v>
      </c>
      <c r="Y83" s="187"/>
      <c r="Z83" s="186">
        <v>2000</v>
      </c>
      <c r="AA83" s="187"/>
      <c r="AB83" s="186">
        <v>2000</v>
      </c>
      <c r="AC83" s="187"/>
      <c r="AD83" s="186">
        <v>0</v>
      </c>
      <c r="AE83" s="187"/>
      <c r="AF83" s="186">
        <f t="shared" ref="AF83:AF85" si="6">SUM(H83:AE83)</f>
        <v>7374.48</v>
      </c>
    </row>
    <row r="84" spans="1:32" x14ac:dyDescent="0.3">
      <c r="A84" s="185"/>
      <c r="B84" s="185"/>
      <c r="C84" s="185"/>
      <c r="D84" s="185"/>
      <c r="E84" s="185"/>
      <c r="F84" s="185"/>
      <c r="G84" s="185" t="s">
        <v>243</v>
      </c>
      <c r="H84" s="186">
        <v>10725.21</v>
      </c>
      <c r="I84" s="187"/>
      <c r="J84" s="186">
        <v>893.33</v>
      </c>
      <c r="K84" s="187"/>
      <c r="L84" s="186">
        <v>79</v>
      </c>
      <c r="M84" s="187"/>
      <c r="N84" s="186">
        <v>500</v>
      </c>
      <c r="O84" s="187"/>
      <c r="P84" s="186">
        <v>500</v>
      </c>
      <c r="Q84" s="187"/>
      <c r="R84" s="186">
        <v>500</v>
      </c>
      <c r="S84" s="187"/>
      <c r="T84" s="186">
        <v>500</v>
      </c>
      <c r="U84" s="187"/>
      <c r="V84" s="186">
        <v>500</v>
      </c>
      <c r="W84" s="187"/>
      <c r="X84" s="186">
        <v>500</v>
      </c>
      <c r="Y84" s="187"/>
      <c r="Z84" s="186">
        <v>500</v>
      </c>
      <c r="AA84" s="187"/>
      <c r="AB84" s="186">
        <v>500</v>
      </c>
      <c r="AC84" s="187"/>
      <c r="AD84" s="186">
        <v>500</v>
      </c>
      <c r="AE84" s="187"/>
      <c r="AF84" s="186">
        <f t="shared" si="6"/>
        <v>16197.539999999999</v>
      </c>
    </row>
    <row r="85" spans="1:32" ht="13.5" thickBot="1" x14ac:dyDescent="0.35">
      <c r="A85" s="185"/>
      <c r="B85" s="185"/>
      <c r="C85" s="185"/>
      <c r="D85" s="185"/>
      <c r="E85" s="185"/>
      <c r="F85" s="185"/>
      <c r="G85" s="185" t="s">
        <v>244</v>
      </c>
      <c r="H85" s="186">
        <v>545.75</v>
      </c>
      <c r="I85" s="187"/>
      <c r="J85" s="186">
        <v>495</v>
      </c>
      <c r="K85" s="187"/>
      <c r="L85" s="186">
        <v>500</v>
      </c>
      <c r="M85" s="187"/>
      <c r="N85" s="186">
        <v>500</v>
      </c>
      <c r="O85" s="187"/>
      <c r="P85" s="186">
        <v>500</v>
      </c>
      <c r="Q85" s="187"/>
      <c r="R85" s="186">
        <v>500</v>
      </c>
      <c r="S85" s="187"/>
      <c r="T85" s="186">
        <v>500</v>
      </c>
      <c r="U85" s="187"/>
      <c r="V85" s="186">
        <v>500</v>
      </c>
      <c r="W85" s="187"/>
      <c r="X85" s="186">
        <v>500</v>
      </c>
      <c r="Y85" s="187"/>
      <c r="Z85" s="186">
        <v>500</v>
      </c>
      <c r="AA85" s="187"/>
      <c r="AB85" s="186">
        <v>500</v>
      </c>
      <c r="AC85" s="187"/>
      <c r="AD85" s="186">
        <v>0</v>
      </c>
      <c r="AE85" s="187"/>
      <c r="AF85" s="186">
        <f t="shared" si="6"/>
        <v>5540.75</v>
      </c>
    </row>
    <row r="86" spans="1:32" ht="13.5" thickBot="1" x14ac:dyDescent="0.35">
      <c r="A86" s="185"/>
      <c r="B86" s="185"/>
      <c r="C86" s="185"/>
      <c r="D86" s="185"/>
      <c r="E86" s="185"/>
      <c r="F86" s="185" t="s">
        <v>245</v>
      </c>
      <c r="G86" s="185"/>
      <c r="H86" s="191">
        <v>13289.31</v>
      </c>
      <c r="I86" s="187"/>
      <c r="J86" s="191">
        <v>6318</v>
      </c>
      <c r="K86" s="187"/>
      <c r="L86" s="191">
        <f>SUM(L82:L85)</f>
        <v>3579</v>
      </c>
      <c r="M86" s="187"/>
      <c r="N86" s="191">
        <f>SUM(N82:N85)</f>
        <v>1000</v>
      </c>
      <c r="O86" s="187"/>
      <c r="P86" s="191">
        <f>SUM(P82:P85)</f>
        <v>1000</v>
      </c>
      <c r="Q86" s="187"/>
      <c r="R86" s="191">
        <f>SUM(R82:R85)</f>
        <v>1000</v>
      </c>
      <c r="S86" s="187"/>
      <c r="T86" s="191">
        <f>SUM(T82:T85)</f>
        <v>2500</v>
      </c>
      <c r="U86" s="187"/>
      <c r="V86" s="191">
        <f>SUM(V82:V85)</f>
        <v>1000</v>
      </c>
      <c r="W86" s="187"/>
      <c r="X86" s="191">
        <f>SUM(X82:X85)</f>
        <v>2500</v>
      </c>
      <c r="Y86" s="187"/>
      <c r="Z86" s="191">
        <f>SUM(Z82:Z85)</f>
        <v>3000</v>
      </c>
      <c r="AA86" s="187"/>
      <c r="AB86" s="191">
        <f>SUM(AB82:AB85)</f>
        <v>4500</v>
      </c>
      <c r="AC86" s="187"/>
      <c r="AD86" s="191">
        <f>SUM(AD82:AD85)</f>
        <v>500</v>
      </c>
      <c r="AE86" s="187"/>
      <c r="AF86" s="196">
        <f>SUM(AF82:AF85)</f>
        <v>40186.31</v>
      </c>
    </row>
    <row r="87" spans="1:32" x14ac:dyDescent="0.3">
      <c r="A87" s="185"/>
      <c r="B87" s="185"/>
      <c r="C87" s="185"/>
      <c r="D87" s="185"/>
      <c r="E87" s="185" t="s">
        <v>246</v>
      </c>
      <c r="F87" s="185"/>
      <c r="G87" s="185"/>
      <c r="H87" s="186">
        <v>13289.31</v>
      </c>
      <c r="I87" s="187"/>
      <c r="J87" s="186">
        <v>6318</v>
      </c>
      <c r="K87" s="187"/>
      <c r="L87" s="186">
        <f>+L86</f>
        <v>3579</v>
      </c>
      <c r="M87" s="187"/>
      <c r="N87" s="186">
        <f>+N86</f>
        <v>1000</v>
      </c>
      <c r="O87" s="187"/>
      <c r="P87" s="186">
        <f>+P86</f>
        <v>1000</v>
      </c>
      <c r="Q87" s="187"/>
      <c r="R87" s="186">
        <f>+R86</f>
        <v>1000</v>
      </c>
      <c r="S87" s="187"/>
      <c r="T87" s="186">
        <f>+T86</f>
        <v>2500</v>
      </c>
      <c r="U87" s="187"/>
      <c r="V87" s="186">
        <f>+V86</f>
        <v>1000</v>
      </c>
      <c r="W87" s="187"/>
      <c r="X87" s="186">
        <f>+X86</f>
        <v>2500</v>
      </c>
      <c r="Y87" s="187"/>
      <c r="Z87" s="186">
        <f>+Z86</f>
        <v>3000</v>
      </c>
      <c r="AA87" s="187"/>
      <c r="AB87" s="186">
        <f>+AB86</f>
        <v>4500</v>
      </c>
      <c r="AC87" s="187"/>
      <c r="AD87" s="186">
        <f>+AD86</f>
        <v>500</v>
      </c>
      <c r="AE87" s="187"/>
      <c r="AF87" s="186"/>
    </row>
    <row r="88" spans="1:32" x14ac:dyDescent="0.3">
      <c r="A88" s="185"/>
      <c r="B88" s="185"/>
      <c r="C88" s="185"/>
      <c r="D88" s="185"/>
      <c r="E88" s="185" t="s">
        <v>247</v>
      </c>
      <c r="F88" s="185"/>
      <c r="G88" s="185"/>
      <c r="H88" s="186"/>
      <c r="I88" s="187"/>
      <c r="J88" s="186"/>
      <c r="K88" s="187"/>
      <c r="L88" s="186"/>
      <c r="M88" s="187"/>
      <c r="N88" s="186"/>
      <c r="O88" s="187"/>
      <c r="P88" s="186"/>
      <c r="Q88" s="187"/>
      <c r="R88" s="186"/>
      <c r="S88" s="187"/>
      <c r="T88" s="186"/>
      <c r="U88" s="187"/>
      <c r="V88" s="186"/>
      <c r="W88" s="187"/>
      <c r="X88" s="186"/>
      <c r="Y88" s="187"/>
      <c r="Z88" s="186"/>
      <c r="AA88" s="187"/>
      <c r="AB88" s="186"/>
      <c r="AC88" s="187"/>
      <c r="AD88" s="186"/>
      <c r="AE88" s="187"/>
      <c r="AF88" s="186"/>
    </row>
    <row r="89" spans="1:32" ht="13.5" thickBot="1" x14ac:dyDescent="0.35">
      <c r="A89" s="185"/>
      <c r="B89" s="185"/>
      <c r="C89" s="185"/>
      <c r="D89" s="185"/>
      <c r="E89" s="185"/>
      <c r="F89" s="185" t="s">
        <v>248</v>
      </c>
      <c r="G89" s="185"/>
      <c r="H89" s="188">
        <v>0</v>
      </c>
      <c r="I89" s="187"/>
      <c r="J89" s="188">
        <v>2725</v>
      </c>
      <c r="K89" s="187"/>
      <c r="L89" s="188">
        <v>0</v>
      </c>
      <c r="M89" s="187"/>
      <c r="N89" s="188">
        <v>0</v>
      </c>
      <c r="O89" s="187"/>
      <c r="P89" s="188">
        <v>2000</v>
      </c>
      <c r="Q89" s="187"/>
      <c r="R89" s="188">
        <v>0</v>
      </c>
      <c r="S89" s="187"/>
      <c r="T89" s="188">
        <v>0</v>
      </c>
      <c r="U89" s="187"/>
      <c r="V89" s="188">
        <v>2000</v>
      </c>
      <c r="W89" s="187"/>
      <c r="X89" s="188">
        <v>0</v>
      </c>
      <c r="Y89" s="187"/>
      <c r="Z89" s="188">
        <v>0</v>
      </c>
      <c r="AA89" s="187"/>
      <c r="AB89" s="188">
        <v>0</v>
      </c>
      <c r="AC89" s="187"/>
      <c r="AD89" s="188">
        <v>0</v>
      </c>
      <c r="AE89" s="187"/>
      <c r="AF89" s="188">
        <f>SUM(H89:AE89)</f>
        <v>6725</v>
      </c>
    </row>
    <row r="90" spans="1:32" x14ac:dyDescent="0.3">
      <c r="A90" s="185"/>
      <c r="B90" s="185"/>
      <c r="C90" s="185"/>
      <c r="D90" s="185"/>
      <c r="E90" s="185" t="s">
        <v>249</v>
      </c>
      <c r="F90" s="185"/>
      <c r="G90" s="185"/>
      <c r="H90" s="186">
        <v>0</v>
      </c>
      <c r="I90" s="187"/>
      <c r="J90" s="186">
        <v>2725</v>
      </c>
      <c r="K90" s="187"/>
      <c r="L90" s="186">
        <f>SUM(L89)</f>
        <v>0</v>
      </c>
      <c r="M90" s="187"/>
      <c r="N90" s="186">
        <f>SUM(N89)</f>
        <v>0</v>
      </c>
      <c r="O90" s="187"/>
      <c r="P90" s="186">
        <f>SUM(P89)</f>
        <v>2000</v>
      </c>
      <c r="Q90" s="187"/>
      <c r="R90" s="186">
        <f>SUM(R89)</f>
        <v>0</v>
      </c>
      <c r="S90" s="187"/>
      <c r="T90" s="186">
        <f>SUM(T89)</f>
        <v>0</v>
      </c>
      <c r="U90" s="187"/>
      <c r="V90" s="186">
        <f>SUM(V89)</f>
        <v>2000</v>
      </c>
      <c r="W90" s="187"/>
      <c r="X90" s="186">
        <f>SUM(X89)</f>
        <v>0</v>
      </c>
      <c r="Y90" s="187"/>
      <c r="Z90" s="186">
        <f>SUM(Z89)</f>
        <v>0</v>
      </c>
      <c r="AA90" s="187"/>
      <c r="AB90" s="186">
        <f>SUM(AB89)</f>
        <v>0</v>
      </c>
      <c r="AC90" s="187"/>
      <c r="AD90" s="186">
        <f>SUM(AD89)</f>
        <v>0</v>
      </c>
      <c r="AE90" s="187"/>
      <c r="AF90" s="193">
        <f>SUM(AF89)</f>
        <v>6725</v>
      </c>
    </row>
    <row r="91" spans="1:32" x14ac:dyDescent="0.3">
      <c r="A91" s="185"/>
      <c r="B91" s="185"/>
      <c r="C91" s="185"/>
      <c r="D91" s="185"/>
      <c r="E91" s="185" t="s">
        <v>250</v>
      </c>
      <c r="F91" s="185"/>
      <c r="G91" s="185"/>
      <c r="H91" s="186"/>
      <c r="I91" s="187"/>
      <c r="J91" s="186"/>
      <c r="K91" s="187"/>
      <c r="L91" s="186"/>
      <c r="M91" s="187"/>
      <c r="N91" s="186"/>
      <c r="O91" s="187"/>
      <c r="P91" s="186"/>
      <c r="Q91" s="187"/>
      <c r="R91" s="186"/>
      <c r="S91" s="187"/>
      <c r="T91" s="186"/>
      <c r="U91" s="187"/>
      <c r="V91" s="186"/>
      <c r="W91" s="187"/>
      <c r="X91" s="186"/>
      <c r="Y91" s="187"/>
      <c r="Z91" s="186"/>
      <c r="AA91" s="187"/>
      <c r="AB91" s="186"/>
      <c r="AC91" s="187"/>
      <c r="AD91" s="186"/>
      <c r="AE91" s="187"/>
      <c r="AF91" s="186"/>
    </row>
    <row r="92" spans="1:32" ht="13.5" thickBot="1" x14ac:dyDescent="0.35">
      <c r="A92" s="185"/>
      <c r="B92" s="185"/>
      <c r="C92" s="185"/>
      <c r="D92" s="185"/>
      <c r="E92" s="185"/>
      <c r="F92" s="185" t="s">
        <v>251</v>
      </c>
      <c r="G92" s="185"/>
      <c r="H92" s="188">
        <v>0</v>
      </c>
      <c r="I92" s="187"/>
      <c r="J92" s="188">
        <v>225.13</v>
      </c>
      <c r="K92" s="187"/>
      <c r="L92" s="188">
        <v>0</v>
      </c>
      <c r="M92" s="187"/>
      <c r="N92" s="188">
        <v>0</v>
      </c>
      <c r="O92" s="187"/>
      <c r="P92" s="188">
        <v>0</v>
      </c>
      <c r="Q92" s="187"/>
      <c r="R92" s="188">
        <v>0</v>
      </c>
      <c r="S92" s="187"/>
      <c r="T92" s="188">
        <v>0</v>
      </c>
      <c r="U92" s="187"/>
      <c r="V92" s="188">
        <v>0</v>
      </c>
      <c r="W92" s="187"/>
      <c r="X92" s="188">
        <v>0</v>
      </c>
      <c r="Y92" s="187"/>
      <c r="Z92" s="188">
        <v>0</v>
      </c>
      <c r="AA92" s="187"/>
      <c r="AB92" s="188">
        <v>0</v>
      </c>
      <c r="AC92" s="187"/>
      <c r="AD92" s="188">
        <v>0</v>
      </c>
      <c r="AE92" s="187"/>
      <c r="AF92" s="188">
        <v>225.13</v>
      </c>
    </row>
    <row r="93" spans="1:32" x14ac:dyDescent="0.3">
      <c r="A93" s="185"/>
      <c r="B93" s="185"/>
      <c r="C93" s="185"/>
      <c r="D93" s="185"/>
      <c r="E93" s="185" t="s">
        <v>252</v>
      </c>
      <c r="F93" s="185"/>
      <c r="G93" s="185"/>
      <c r="H93" s="186">
        <v>0</v>
      </c>
      <c r="I93" s="187"/>
      <c r="J93" s="186">
        <v>225.13</v>
      </c>
      <c r="K93" s="187"/>
      <c r="L93" s="186">
        <v>0</v>
      </c>
      <c r="M93" s="187"/>
      <c r="N93" s="186">
        <v>0</v>
      </c>
      <c r="O93" s="187"/>
      <c r="P93" s="186">
        <v>0</v>
      </c>
      <c r="Q93" s="187"/>
      <c r="R93" s="186">
        <v>0</v>
      </c>
      <c r="S93" s="187"/>
      <c r="T93" s="186">
        <v>0</v>
      </c>
      <c r="U93" s="187"/>
      <c r="V93" s="186">
        <v>0</v>
      </c>
      <c r="W93" s="187"/>
      <c r="X93" s="186">
        <v>0</v>
      </c>
      <c r="Y93" s="187"/>
      <c r="Z93" s="186">
        <v>0</v>
      </c>
      <c r="AA93" s="187"/>
      <c r="AB93" s="186">
        <v>0</v>
      </c>
      <c r="AC93" s="187"/>
      <c r="AD93" s="186">
        <v>0</v>
      </c>
      <c r="AE93" s="187"/>
      <c r="AF93" s="193">
        <v>225.13</v>
      </c>
    </row>
    <row r="94" spans="1:32" x14ac:dyDescent="0.3">
      <c r="A94" s="185"/>
      <c r="B94" s="185"/>
      <c r="C94" s="185"/>
      <c r="D94" s="185"/>
      <c r="E94" s="185" t="s">
        <v>253</v>
      </c>
      <c r="F94" s="185"/>
      <c r="G94" s="185"/>
      <c r="H94" s="186"/>
      <c r="I94" s="187"/>
      <c r="J94" s="186"/>
      <c r="K94" s="187"/>
      <c r="L94" s="186"/>
      <c r="M94" s="187"/>
      <c r="N94" s="186"/>
      <c r="O94" s="187"/>
      <c r="P94" s="186"/>
      <c r="Q94" s="187"/>
      <c r="R94" s="186"/>
      <c r="S94" s="187"/>
      <c r="T94" s="186"/>
      <c r="U94" s="187"/>
      <c r="V94" s="186"/>
      <c r="W94" s="187"/>
      <c r="X94" s="186"/>
      <c r="Y94" s="187"/>
      <c r="Z94" s="186"/>
      <c r="AA94" s="187"/>
      <c r="AB94" s="186"/>
      <c r="AC94" s="187"/>
      <c r="AD94" s="186"/>
      <c r="AE94" s="187"/>
      <c r="AF94" s="186"/>
    </row>
    <row r="95" spans="1:32" ht="13.5" thickBot="1" x14ac:dyDescent="0.35">
      <c r="A95" s="185"/>
      <c r="B95" s="185"/>
      <c r="C95" s="185"/>
      <c r="D95" s="185"/>
      <c r="E95" s="185"/>
      <c r="F95" s="185" t="s">
        <v>254</v>
      </c>
      <c r="G95" s="185"/>
      <c r="H95" s="188">
        <v>0</v>
      </c>
      <c r="I95" s="187"/>
      <c r="J95" s="188">
        <v>47.64</v>
      </c>
      <c r="K95" s="187"/>
      <c r="L95" s="188">
        <v>0</v>
      </c>
      <c r="M95" s="187"/>
      <c r="N95" s="188">
        <v>0</v>
      </c>
      <c r="O95" s="187"/>
      <c r="P95" s="188">
        <v>0</v>
      </c>
      <c r="Q95" s="187"/>
      <c r="R95" s="188">
        <v>0</v>
      </c>
      <c r="S95" s="187"/>
      <c r="T95" s="188">
        <v>0</v>
      </c>
      <c r="U95" s="187"/>
      <c r="V95" s="188">
        <v>0</v>
      </c>
      <c r="W95" s="187"/>
      <c r="X95" s="188">
        <v>0</v>
      </c>
      <c r="Y95" s="187"/>
      <c r="Z95" s="188">
        <v>0</v>
      </c>
      <c r="AA95" s="187"/>
      <c r="AB95" s="188">
        <v>0</v>
      </c>
      <c r="AC95" s="187"/>
      <c r="AD95" s="188">
        <v>0</v>
      </c>
      <c r="AE95" s="187"/>
      <c r="AF95" s="188">
        <v>47.64</v>
      </c>
    </row>
    <row r="96" spans="1:32" x14ac:dyDescent="0.3">
      <c r="A96" s="185"/>
      <c r="B96" s="185"/>
      <c r="C96" s="185"/>
      <c r="D96" s="185"/>
      <c r="E96" s="185" t="s">
        <v>255</v>
      </c>
      <c r="F96" s="185"/>
      <c r="G96" s="185"/>
      <c r="H96" s="186">
        <v>0</v>
      </c>
      <c r="I96" s="187"/>
      <c r="J96" s="186">
        <v>47.64</v>
      </c>
      <c r="K96" s="187"/>
      <c r="L96" s="186">
        <v>0</v>
      </c>
      <c r="M96" s="187"/>
      <c r="N96" s="186">
        <v>0</v>
      </c>
      <c r="O96" s="187"/>
      <c r="P96" s="186">
        <v>0</v>
      </c>
      <c r="Q96" s="187"/>
      <c r="R96" s="186">
        <v>0</v>
      </c>
      <c r="S96" s="187"/>
      <c r="T96" s="186">
        <v>0</v>
      </c>
      <c r="U96" s="187"/>
      <c r="V96" s="186">
        <v>0</v>
      </c>
      <c r="W96" s="187"/>
      <c r="X96" s="186">
        <v>0</v>
      </c>
      <c r="Y96" s="187"/>
      <c r="Z96" s="186">
        <v>0</v>
      </c>
      <c r="AA96" s="187"/>
      <c r="AB96" s="186">
        <v>0</v>
      </c>
      <c r="AC96" s="187"/>
      <c r="AD96" s="186">
        <v>0</v>
      </c>
      <c r="AE96" s="187"/>
      <c r="AF96" s="193">
        <v>47.64</v>
      </c>
    </row>
    <row r="97" spans="1:36" x14ac:dyDescent="0.3">
      <c r="A97" s="185"/>
      <c r="B97" s="185"/>
      <c r="C97" s="185"/>
      <c r="D97" s="185"/>
      <c r="E97" s="185" t="s">
        <v>256</v>
      </c>
      <c r="F97" s="185"/>
      <c r="G97" s="185"/>
      <c r="H97" s="186">
        <v>0</v>
      </c>
      <c r="I97" s="187"/>
      <c r="J97" s="186">
        <v>0</v>
      </c>
      <c r="K97" s="187"/>
      <c r="L97" s="186">
        <v>0</v>
      </c>
      <c r="M97" s="187"/>
      <c r="N97" s="186">
        <v>0</v>
      </c>
      <c r="O97" s="187"/>
      <c r="P97" s="186">
        <v>0</v>
      </c>
      <c r="Q97" s="187"/>
      <c r="R97" s="186">
        <v>0</v>
      </c>
      <c r="S97" s="187"/>
      <c r="T97" s="186">
        <v>0</v>
      </c>
      <c r="U97" s="187"/>
      <c r="V97" s="186">
        <v>0</v>
      </c>
      <c r="W97" s="187"/>
      <c r="X97" s="186">
        <v>0</v>
      </c>
      <c r="Y97" s="187"/>
      <c r="Z97" s="186">
        <v>0</v>
      </c>
      <c r="AA97" s="187"/>
      <c r="AB97" s="186">
        <v>0</v>
      </c>
      <c r="AC97" s="187"/>
      <c r="AD97" s="186">
        <v>0</v>
      </c>
      <c r="AE97" s="187"/>
      <c r="AF97" s="186">
        <v>0</v>
      </c>
    </row>
    <row r="98" spans="1:36" x14ac:dyDescent="0.3">
      <c r="A98" s="185"/>
      <c r="B98" s="185"/>
      <c r="C98" s="185"/>
      <c r="D98" s="185"/>
      <c r="E98" s="185" t="s">
        <v>257</v>
      </c>
      <c r="F98" s="185"/>
      <c r="G98" s="185"/>
      <c r="H98" s="186"/>
      <c r="I98" s="187"/>
      <c r="J98" s="186"/>
      <c r="K98" s="187"/>
      <c r="L98" s="186"/>
      <c r="M98" s="187"/>
      <c r="N98" s="186"/>
      <c r="O98" s="187"/>
      <c r="P98" s="186"/>
      <c r="Q98" s="187"/>
      <c r="R98" s="186"/>
      <c r="S98" s="187"/>
      <c r="T98" s="186"/>
      <c r="U98" s="187"/>
      <c r="V98" s="186"/>
      <c r="W98" s="187"/>
      <c r="X98" s="186"/>
      <c r="Y98" s="187"/>
      <c r="Z98" s="186"/>
      <c r="AA98" s="187"/>
      <c r="AB98" s="186"/>
      <c r="AC98" s="187"/>
      <c r="AD98" s="186"/>
      <c r="AE98" s="187"/>
      <c r="AF98" s="186"/>
    </row>
    <row r="99" spans="1:36" x14ac:dyDescent="0.3">
      <c r="A99" s="185"/>
      <c r="B99" s="185"/>
      <c r="C99" s="185"/>
      <c r="D99" s="185"/>
      <c r="E99" s="185"/>
      <c r="F99" s="185" t="s">
        <v>258</v>
      </c>
      <c r="G99" s="185"/>
      <c r="H99" s="186">
        <v>0</v>
      </c>
      <c r="I99" s="187"/>
      <c r="J99" s="186">
        <v>0</v>
      </c>
      <c r="K99" s="187"/>
      <c r="L99" s="186">
        <v>150</v>
      </c>
      <c r="M99" s="187"/>
      <c r="N99" s="186">
        <v>0</v>
      </c>
      <c r="O99" s="187"/>
      <c r="P99" s="186">
        <v>0</v>
      </c>
      <c r="Q99" s="187"/>
      <c r="R99" s="186">
        <v>0</v>
      </c>
      <c r="S99" s="187"/>
      <c r="T99" s="186">
        <v>0</v>
      </c>
      <c r="U99" s="187"/>
      <c r="V99" s="186">
        <v>0</v>
      </c>
      <c r="W99" s="187"/>
      <c r="X99" s="186">
        <v>0</v>
      </c>
      <c r="Y99" s="187"/>
      <c r="Z99" s="186">
        <v>0</v>
      </c>
      <c r="AA99" s="187"/>
      <c r="AB99" s="186">
        <v>0</v>
      </c>
      <c r="AC99" s="187"/>
      <c r="AD99" s="186">
        <v>0</v>
      </c>
      <c r="AE99" s="187"/>
      <c r="AF99" s="186">
        <f>SUM(H99:AE99)</f>
        <v>150</v>
      </c>
    </row>
    <row r="100" spans="1:36" x14ac:dyDescent="0.3">
      <c r="A100" s="185"/>
      <c r="B100" s="185"/>
      <c r="C100" s="185"/>
      <c r="D100" s="185"/>
      <c r="E100" s="185"/>
      <c r="F100" s="185" t="s">
        <v>259</v>
      </c>
      <c r="G100" s="185"/>
      <c r="H100" s="186">
        <v>287</v>
      </c>
      <c r="I100" s="187"/>
      <c r="J100" s="186">
        <v>41</v>
      </c>
      <c r="K100" s="187"/>
      <c r="L100" s="186">
        <v>0</v>
      </c>
      <c r="M100" s="187"/>
      <c r="N100" s="186">
        <v>2000</v>
      </c>
      <c r="O100" s="187"/>
      <c r="P100" s="186">
        <v>2000</v>
      </c>
      <c r="Q100" s="187"/>
      <c r="R100" s="186">
        <v>2000</v>
      </c>
      <c r="S100" s="187"/>
      <c r="T100" s="186">
        <v>2000</v>
      </c>
      <c r="U100" s="187"/>
      <c r="V100" s="186">
        <v>2000</v>
      </c>
      <c r="W100" s="187"/>
      <c r="X100" s="186">
        <v>0</v>
      </c>
      <c r="Y100" s="187"/>
      <c r="Z100" s="186">
        <v>0</v>
      </c>
      <c r="AA100" s="187"/>
      <c r="AB100" s="186">
        <v>0</v>
      </c>
      <c r="AC100" s="187"/>
      <c r="AD100" s="186">
        <v>0</v>
      </c>
      <c r="AE100" s="187"/>
      <c r="AF100" s="186">
        <f>SUM(H100:AE100)</f>
        <v>10328</v>
      </c>
    </row>
    <row r="101" spans="1:36" x14ac:dyDescent="0.3">
      <c r="A101" s="185"/>
      <c r="B101" s="185"/>
      <c r="C101" s="185"/>
      <c r="D101" s="185"/>
      <c r="E101" s="185"/>
      <c r="F101" s="185" t="s">
        <v>260</v>
      </c>
      <c r="G101" s="185"/>
      <c r="H101" s="186">
        <v>65</v>
      </c>
      <c r="I101" s="187"/>
      <c r="J101" s="186">
        <v>70</v>
      </c>
      <c r="K101" s="187"/>
      <c r="L101" s="186">
        <v>70</v>
      </c>
      <c r="M101" s="187"/>
      <c r="N101" s="186">
        <v>70</v>
      </c>
      <c r="O101" s="187"/>
      <c r="P101" s="186">
        <v>70</v>
      </c>
      <c r="Q101" s="187"/>
      <c r="R101" s="186">
        <v>70</v>
      </c>
      <c r="S101" s="187"/>
      <c r="T101" s="186">
        <v>70</v>
      </c>
      <c r="U101" s="187"/>
      <c r="V101" s="186">
        <v>70</v>
      </c>
      <c r="W101" s="187"/>
      <c r="X101" s="186">
        <v>70</v>
      </c>
      <c r="Y101" s="187"/>
      <c r="Z101" s="186">
        <v>70</v>
      </c>
      <c r="AA101" s="187"/>
      <c r="AB101" s="186">
        <v>70</v>
      </c>
      <c r="AC101" s="187"/>
      <c r="AD101" s="186">
        <v>70</v>
      </c>
      <c r="AE101" s="187"/>
      <c r="AF101" s="186">
        <f t="shared" ref="AF101:AF103" si="7">SUM(H101:AE101)</f>
        <v>835</v>
      </c>
    </row>
    <row r="102" spans="1:36" x14ac:dyDescent="0.3">
      <c r="A102" s="185"/>
      <c r="B102" s="185"/>
      <c r="C102" s="185"/>
      <c r="D102" s="185"/>
      <c r="E102" s="185"/>
      <c r="F102" s="185" t="s">
        <v>261</v>
      </c>
      <c r="G102" s="185"/>
      <c r="H102" s="186">
        <v>1704.74</v>
      </c>
      <c r="I102" s="187"/>
      <c r="J102" s="186">
        <v>227.47</v>
      </c>
      <c r="K102" s="187"/>
      <c r="L102" s="186">
        <v>15.12</v>
      </c>
      <c r="M102" s="187"/>
      <c r="N102" s="186">
        <v>0</v>
      </c>
      <c r="O102" s="187"/>
      <c r="P102" s="186">
        <v>0</v>
      </c>
      <c r="Q102" s="187"/>
      <c r="R102" s="186">
        <v>0</v>
      </c>
      <c r="S102" s="187"/>
      <c r="T102" s="186">
        <v>0</v>
      </c>
      <c r="U102" s="187"/>
      <c r="V102" s="186">
        <v>0</v>
      </c>
      <c r="W102" s="187"/>
      <c r="X102" s="186">
        <v>0</v>
      </c>
      <c r="Y102" s="187"/>
      <c r="Z102" s="186">
        <v>0</v>
      </c>
      <c r="AA102" s="187"/>
      <c r="AB102" s="186">
        <v>0</v>
      </c>
      <c r="AC102" s="187"/>
      <c r="AD102" s="186">
        <v>0</v>
      </c>
      <c r="AE102" s="187"/>
      <c r="AF102" s="186">
        <f t="shared" si="7"/>
        <v>1947.33</v>
      </c>
    </row>
    <row r="103" spans="1:36" ht="13.5" thickBot="1" x14ac:dyDescent="0.35">
      <c r="A103" s="185"/>
      <c r="B103" s="185"/>
      <c r="C103" s="185"/>
      <c r="D103" s="185"/>
      <c r="E103" s="185"/>
      <c r="F103" s="185" t="s">
        <v>262</v>
      </c>
      <c r="G103" s="185"/>
      <c r="H103" s="186">
        <v>0</v>
      </c>
      <c r="I103" s="187"/>
      <c r="J103" s="186">
        <v>2815</v>
      </c>
      <c r="K103" s="187"/>
      <c r="L103" s="186">
        <v>0</v>
      </c>
      <c r="M103" s="187"/>
      <c r="N103" s="186">
        <v>0</v>
      </c>
      <c r="O103" s="187"/>
      <c r="P103" s="186">
        <v>2815</v>
      </c>
      <c r="Q103" s="187"/>
      <c r="R103" s="186">
        <v>0</v>
      </c>
      <c r="S103" s="187"/>
      <c r="T103" s="186">
        <v>0</v>
      </c>
      <c r="U103" s="187"/>
      <c r="V103" s="186">
        <v>2815</v>
      </c>
      <c r="W103" s="187"/>
      <c r="X103" s="186">
        <v>0</v>
      </c>
      <c r="Y103" s="187"/>
      <c r="Z103" s="186">
        <v>0</v>
      </c>
      <c r="AA103" s="187"/>
      <c r="AB103" s="186">
        <v>2815</v>
      </c>
      <c r="AC103" s="187"/>
      <c r="AD103" s="186">
        <v>0</v>
      </c>
      <c r="AE103" s="187"/>
      <c r="AF103" s="186">
        <f t="shared" si="7"/>
        <v>11260</v>
      </c>
    </row>
    <row r="104" spans="1:36" ht="13.5" thickBot="1" x14ac:dyDescent="0.35">
      <c r="A104" s="185"/>
      <c r="B104" s="185"/>
      <c r="C104" s="185"/>
      <c r="D104" s="185"/>
      <c r="E104" s="185" t="s">
        <v>263</v>
      </c>
      <c r="F104" s="185"/>
      <c r="G104" s="185"/>
      <c r="H104" s="197">
        <v>2056.7399999999998</v>
      </c>
      <c r="I104" s="187"/>
      <c r="J104" s="197">
        <v>3153.47</v>
      </c>
      <c r="K104" s="187"/>
      <c r="L104" s="197">
        <f>SUM(L99:L103)</f>
        <v>235.12</v>
      </c>
      <c r="M104" s="187"/>
      <c r="N104" s="197">
        <f>SUM(N99:N103)</f>
        <v>2070</v>
      </c>
      <c r="O104" s="187"/>
      <c r="P104" s="197">
        <f>SUM(P99:P103)</f>
        <v>4885</v>
      </c>
      <c r="Q104" s="187"/>
      <c r="R104" s="197">
        <f>SUM(R99:R103)</f>
        <v>2070</v>
      </c>
      <c r="S104" s="187"/>
      <c r="T104" s="197">
        <f>SUM(T99:T103)</f>
        <v>2070</v>
      </c>
      <c r="U104" s="187"/>
      <c r="V104" s="197">
        <f>SUM(V99:V103)</f>
        <v>4885</v>
      </c>
      <c r="W104" s="187"/>
      <c r="X104" s="197">
        <f>SUM(X99:X103)</f>
        <v>70</v>
      </c>
      <c r="Y104" s="187"/>
      <c r="Z104" s="197">
        <f>SUM(Z99:Z103)</f>
        <v>70</v>
      </c>
      <c r="AA104" s="187"/>
      <c r="AB104" s="197">
        <f>SUM(AB99:AB103)</f>
        <v>2885</v>
      </c>
      <c r="AC104" s="187"/>
      <c r="AD104" s="197">
        <f>SUM(AD99:AD103)</f>
        <v>70</v>
      </c>
      <c r="AE104" s="187"/>
      <c r="AF104" s="197">
        <f>SUM(AF99:AF103)</f>
        <v>24520.33</v>
      </c>
    </row>
    <row r="105" spans="1:36" ht="13.5" thickBot="1" x14ac:dyDescent="0.35">
      <c r="A105" s="185"/>
      <c r="B105" s="185"/>
      <c r="C105" s="185"/>
      <c r="D105" s="185" t="s">
        <v>264</v>
      </c>
      <c r="E105" s="185"/>
      <c r="F105" s="185"/>
      <c r="G105" s="185"/>
      <c r="H105" s="197">
        <f>+H104+H33+H41+H53+H59+H66+H72+H76+H62+H79+H86+H90+H93+H96</f>
        <v>132357.25</v>
      </c>
      <c r="I105" s="187"/>
      <c r="J105" s="197">
        <f>+J104+J33+J41+J53+J59+J66+J72+J76+J62+J79+J86+J90+J93+J96</f>
        <v>130444.86000000002</v>
      </c>
      <c r="K105" s="187"/>
      <c r="L105" s="197">
        <f>+L104+L33+L41+L53+L59+L66+L72+L76+L62+L79+L86+L90+L93+L96</f>
        <v>117074.37000000001</v>
      </c>
      <c r="M105" s="187"/>
      <c r="N105" s="197">
        <f>+N104+N33+N41+N53+N59+N66+N72+N76+N62+N79+N86+N90+N93+N96</f>
        <v>122274.96453333332</v>
      </c>
      <c r="O105" s="187"/>
      <c r="P105" s="197">
        <f>+P104+P33+P41+P53+P59+P66+P72+P76+P62+P79+P86+P90+P93+P96</f>
        <v>128007.84453333332</v>
      </c>
      <c r="Q105" s="187"/>
      <c r="R105" s="197">
        <f>+R104+R33+R41+R53+R59+R66+R72+R76+R62+R79+R86+R90+R93+R96</f>
        <v>120493.59453333332</v>
      </c>
      <c r="S105" s="187"/>
      <c r="T105" s="197">
        <f>+T104+T33+T41+T53+T59+T66+T72+T76+T62+T79+T86+T90+T93+T96</f>
        <v>125889.78653333332</v>
      </c>
      <c r="U105" s="187"/>
      <c r="V105" s="197">
        <f>+V104+V33+V41+V53+V59+V66+V72+V76+V62+V79+V86+V90+V93+V96</f>
        <v>129007.84453333332</v>
      </c>
      <c r="W105" s="187"/>
      <c r="X105" s="197">
        <f>+X104+X33+X41+X53+X59+X66+X72+X76+X62+X79+X86+X90+X93+X96</f>
        <v>124192.84453333332</v>
      </c>
      <c r="Y105" s="187"/>
      <c r="Z105" s="197">
        <f>+Z104+Z33+Z41+Z53+Z59+Z66+Z72+Z76+Z62+Z79+Z86+Z90+Z93+Z96</f>
        <v>126292.84453333332</v>
      </c>
      <c r="AA105" s="187"/>
      <c r="AB105" s="197">
        <f>+AB104+AB33+AB41+AB53+AB59+AB66+AB72+AB76+AB62+AB79+AB86+AB90+AB93+AB96</f>
        <v>130207.84453333332</v>
      </c>
      <c r="AC105" s="187"/>
      <c r="AD105" s="197">
        <f>+AD104+AD33+AD41+AD53+AD59+AD66+AD72+AD76+AD62+AD79+AD86+AD90+AD93+AD96</f>
        <v>102392.84453333332</v>
      </c>
      <c r="AE105" s="187"/>
      <c r="AF105" s="197">
        <f>SUM(H105:AE105)</f>
        <v>1488636.8927999998</v>
      </c>
      <c r="AH105" s="189"/>
      <c r="AJ105" s="198"/>
    </row>
    <row r="106" spans="1:36" ht="13.5" thickBot="1" x14ac:dyDescent="0.35">
      <c r="A106" s="185"/>
      <c r="B106" s="185" t="s">
        <v>265</v>
      </c>
      <c r="C106" s="185"/>
      <c r="D106" s="185"/>
      <c r="E106" s="185"/>
      <c r="F106" s="185"/>
      <c r="G106" s="185"/>
      <c r="H106" s="197">
        <v>-20964.509999999998</v>
      </c>
      <c r="I106" s="187"/>
      <c r="J106" s="197">
        <v>-11457.01</v>
      </c>
      <c r="K106" s="187"/>
      <c r="L106" s="197">
        <f>+L25-L105</f>
        <v>23283.589999999982</v>
      </c>
      <c r="M106" s="187"/>
      <c r="N106" s="197">
        <f>+N25-N105</f>
        <v>17782.995466666674</v>
      </c>
      <c r="O106" s="187"/>
      <c r="P106" s="197">
        <f>+P25-P105</f>
        <v>12050.11546666667</v>
      </c>
      <c r="Q106" s="187"/>
      <c r="R106" s="197">
        <f>+R25-R105</f>
        <v>19564.36546666667</v>
      </c>
      <c r="S106" s="187"/>
      <c r="T106" s="197">
        <f>+T25-T105</f>
        <v>17399.573466666669</v>
      </c>
      <c r="U106" s="187"/>
      <c r="V106" s="197">
        <f>+V25-V105</f>
        <v>11050.11546666667</v>
      </c>
      <c r="W106" s="187"/>
      <c r="X106" s="197">
        <f>+X25-X105</f>
        <v>15865.11546666667</v>
      </c>
      <c r="Y106" s="187"/>
      <c r="Z106" s="197">
        <f>+Z25-Z105</f>
        <v>13765.11546666667</v>
      </c>
      <c r="AA106" s="187"/>
      <c r="AB106" s="197">
        <f>+AB25-AB105</f>
        <v>9850.1154666666698</v>
      </c>
      <c r="AC106" s="187"/>
      <c r="AD106" s="197">
        <f>+AD25-AD105</f>
        <v>37665.11546666667</v>
      </c>
      <c r="AE106" s="187"/>
      <c r="AF106" s="197">
        <f>+AF24-AF105</f>
        <v>145724.69720000005</v>
      </c>
    </row>
    <row r="107" spans="1:36" ht="13.5" thickBot="1" x14ac:dyDescent="0.35">
      <c r="A107" s="185" t="s">
        <v>266</v>
      </c>
      <c r="B107" s="185"/>
      <c r="C107" s="185"/>
      <c r="D107" s="185"/>
      <c r="E107" s="185"/>
      <c r="F107" s="185"/>
      <c r="G107" s="185"/>
      <c r="H107" s="199">
        <v>-20964.509999999998</v>
      </c>
      <c r="I107" s="185"/>
      <c r="J107" s="199">
        <v>-11457.01</v>
      </c>
      <c r="K107" s="185"/>
      <c r="L107" s="199">
        <f>+L106</f>
        <v>23283.589999999982</v>
      </c>
      <c r="M107" s="199"/>
      <c r="N107" s="199">
        <f t="shared" ref="N107:AD107" si="8">+N106</f>
        <v>17782.995466666674</v>
      </c>
      <c r="O107" s="199"/>
      <c r="P107" s="199">
        <f t="shared" si="8"/>
        <v>12050.11546666667</v>
      </c>
      <c r="Q107" s="199"/>
      <c r="R107" s="199">
        <f t="shared" si="8"/>
        <v>19564.36546666667</v>
      </c>
      <c r="S107" s="199"/>
      <c r="T107" s="199">
        <f t="shared" si="8"/>
        <v>17399.573466666669</v>
      </c>
      <c r="U107" s="199"/>
      <c r="V107" s="199">
        <f t="shared" si="8"/>
        <v>11050.11546666667</v>
      </c>
      <c r="W107" s="199"/>
      <c r="X107" s="199">
        <f t="shared" si="8"/>
        <v>15865.11546666667</v>
      </c>
      <c r="Y107" s="199"/>
      <c r="Z107" s="199">
        <f t="shared" si="8"/>
        <v>13765.11546666667</v>
      </c>
      <c r="AA107" s="199"/>
      <c r="AB107" s="199">
        <f t="shared" si="8"/>
        <v>9850.1154666666698</v>
      </c>
      <c r="AC107" s="199"/>
      <c r="AD107" s="199">
        <f t="shared" si="8"/>
        <v>37665.11546666667</v>
      </c>
      <c r="AE107" s="185"/>
      <c r="AF107" s="199">
        <f>+AF106</f>
        <v>145724.69720000005</v>
      </c>
    </row>
    <row r="108" spans="1:36" ht="13.5" thickTop="1" x14ac:dyDescent="0.3"/>
    <row r="109" spans="1:36" x14ac:dyDescent="0.3">
      <c r="AF109" s="184">
        <v>189009.7</v>
      </c>
    </row>
    <row r="110" spans="1:36" x14ac:dyDescent="0.3">
      <c r="AF110" s="200">
        <f>+AF107-AF109</f>
        <v>-43285.002799999958</v>
      </c>
    </row>
    <row r="116" spans="12:12" x14ac:dyDescent="0.3">
      <c r="L116" s="189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9075F-02EB-4020-9F9A-3D4D7E879B42}">
  <sheetPr>
    <pageSetUpPr fitToPage="1"/>
  </sheetPr>
  <dimension ref="A1:M27"/>
  <sheetViews>
    <sheetView workbookViewId="0">
      <selection activeCell="C10" sqref="C10"/>
    </sheetView>
  </sheetViews>
  <sheetFormatPr defaultColWidth="9.1796875" defaultRowHeight="15.5" x14ac:dyDescent="0.35"/>
  <cols>
    <col min="1" max="1" width="13.26953125" style="201" customWidth="1"/>
    <col min="2" max="12" width="19.7265625" style="205" customWidth="1"/>
    <col min="13" max="13" width="19.7265625" style="201" customWidth="1"/>
    <col min="14" max="14" width="10.453125" style="201" bestFit="1" customWidth="1"/>
    <col min="15" max="16384" width="9.1796875" style="201"/>
  </cols>
  <sheetData>
    <row r="1" spans="1:13" x14ac:dyDescent="0.35">
      <c r="A1" s="385" t="s">
        <v>267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x14ac:dyDescent="0.35">
      <c r="A2" s="202" t="s">
        <v>268</v>
      </c>
      <c r="B2" s="224" t="s">
        <v>300</v>
      </c>
      <c r="C2" s="204"/>
      <c r="D2" s="204"/>
      <c r="E2" s="204"/>
      <c r="F2" s="204"/>
      <c r="G2" s="204"/>
      <c r="H2" s="204"/>
      <c r="I2" s="204"/>
      <c r="J2" s="204"/>
      <c r="K2" s="204"/>
      <c r="L2" s="203" t="s">
        <v>1</v>
      </c>
      <c r="M2" s="202" t="s">
        <v>2</v>
      </c>
    </row>
    <row r="3" spans="1:13" x14ac:dyDescent="0.35">
      <c r="A3" s="385" t="s">
        <v>6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</row>
    <row r="4" spans="1:13" x14ac:dyDescent="0.35">
      <c r="A4" s="385" t="s">
        <v>301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</row>
    <row r="5" spans="1:13" ht="16" thickBot="1" x14ac:dyDescent="0.4"/>
    <row r="6" spans="1:13" ht="62" x14ac:dyDescent="0.35">
      <c r="B6" s="206" t="s">
        <v>269</v>
      </c>
      <c r="C6" s="207" t="s">
        <v>270</v>
      </c>
      <c r="D6" s="207" t="s">
        <v>271</v>
      </c>
      <c r="E6" s="207" t="s">
        <v>272</v>
      </c>
      <c r="F6" s="207" t="s">
        <v>273</v>
      </c>
      <c r="G6" s="207" t="s">
        <v>274</v>
      </c>
      <c r="H6" s="207" t="s">
        <v>275</v>
      </c>
      <c r="I6" s="207" t="s">
        <v>276</v>
      </c>
      <c r="J6" s="207" t="s">
        <v>277</v>
      </c>
      <c r="K6" s="207" t="s">
        <v>278</v>
      </c>
      <c r="L6" s="207" t="s">
        <v>279</v>
      </c>
      <c r="M6" s="208" t="s">
        <v>79</v>
      </c>
    </row>
    <row r="7" spans="1:13" x14ac:dyDescent="0.35">
      <c r="B7" s="209" t="s">
        <v>280</v>
      </c>
      <c r="C7" s="210" t="s">
        <v>281</v>
      </c>
      <c r="D7" s="210" t="s">
        <v>282</v>
      </c>
      <c r="E7" s="210" t="s">
        <v>283</v>
      </c>
      <c r="F7" s="210" t="s">
        <v>284</v>
      </c>
      <c r="G7" s="210" t="s">
        <v>285</v>
      </c>
      <c r="H7" s="210" t="s">
        <v>286</v>
      </c>
      <c r="I7" s="210" t="s">
        <v>287</v>
      </c>
      <c r="J7" s="210" t="s">
        <v>288</v>
      </c>
      <c r="K7" s="210" t="s">
        <v>289</v>
      </c>
      <c r="L7" s="210" t="s">
        <v>290</v>
      </c>
      <c r="M7" s="211" t="s">
        <v>291</v>
      </c>
    </row>
    <row r="8" spans="1:13" ht="31" x14ac:dyDescent="0.35">
      <c r="B8" s="212" t="s">
        <v>292</v>
      </c>
      <c r="C8" s="213">
        <f>+'FY 24 estimated'!AF28+'FY 24 estimated'!AF29</f>
        <v>438387.80000000005</v>
      </c>
      <c r="D8" s="213">
        <f>+'FY 24 estimated'!AF31</f>
        <v>138722.08000000002</v>
      </c>
      <c r="E8" s="213">
        <f>+'FY 24 estimated'!AF30+'FY 24 estimated'!AF32</f>
        <v>95608.239999999991</v>
      </c>
      <c r="F8" s="213"/>
      <c r="G8" s="213"/>
      <c r="H8" s="213"/>
      <c r="I8" s="213"/>
      <c r="J8" s="213"/>
      <c r="K8" s="213"/>
      <c r="L8" s="213"/>
      <c r="M8" s="214">
        <f>SUM(C8:L8)</f>
        <v>672718.12000000011</v>
      </c>
    </row>
    <row r="9" spans="1:13" ht="46.5" x14ac:dyDescent="0.35">
      <c r="B9" s="212" t="s">
        <v>293</v>
      </c>
      <c r="C9" s="213">
        <f>+C8*0.19</f>
        <v>83293.682000000015</v>
      </c>
      <c r="D9" s="213">
        <f>+D8*0.19</f>
        <v>26357.195200000002</v>
      </c>
      <c r="E9" s="213">
        <f>+E8*0.19-598</f>
        <v>17567.565599999998</v>
      </c>
      <c r="F9" s="213"/>
      <c r="G9" s="213"/>
      <c r="H9" s="213"/>
      <c r="I9" s="213"/>
      <c r="J9" s="213"/>
      <c r="K9" s="213"/>
      <c r="L9" s="213"/>
      <c r="M9" s="214">
        <f t="shared" ref="M9:M14" si="0">SUM(C9:L9)</f>
        <v>127218.44280000002</v>
      </c>
    </row>
    <row r="10" spans="1:13" ht="46.5" x14ac:dyDescent="0.35">
      <c r="B10" s="212" t="s">
        <v>294</v>
      </c>
      <c r="C10" s="213">
        <f>+'FY 24 estimated'!AF43+'FY 24 estimated'!AF45</f>
        <v>20670</v>
      </c>
      <c r="D10" s="213">
        <f>+'FY 24 estimated'!AF44</f>
        <v>28736</v>
      </c>
      <c r="E10" s="213">
        <f>+'FY 24 estimated'!AF46+'FY 24 estimated'!AF47+'FY 24 estimated'!AF48+'FY 24 estimated'!AF50+'FY 24 estimated'!AF52+'FY 24 estimated'!AF61+'FY 24 estimated'!AF64+'FY 24 estimated'!AF74</f>
        <v>112092.49279999999</v>
      </c>
      <c r="F10" s="213">
        <f>+'FY 24 estimated'!AF49+'FY 24 estimated'!AF100+'FY 24 estimated'!AF103</f>
        <v>63588</v>
      </c>
      <c r="G10" s="213">
        <f>+'FY 24 estimated'!AF55+'FY 24 estimated'!AF56+'FY 24 estimated'!AF57+'FY 24 estimated'!AF58+'FY 24 estimated'!AF68+'FY 24 estimated'!AF69+'FY 24 estimated'!AF70+'FY 24 estimated'!AF51+'FY 24 estimated'!AF65</f>
        <v>198347.93</v>
      </c>
      <c r="H10" s="213">
        <f>+'FY 24 estimated'!AF78</f>
        <v>100650</v>
      </c>
      <c r="I10" s="213">
        <f>+'FY 24 estimated'!AF75</f>
        <v>114500</v>
      </c>
      <c r="J10" s="213"/>
      <c r="K10" s="213"/>
      <c r="L10" s="213"/>
      <c r="M10" s="214">
        <f t="shared" si="0"/>
        <v>638584.42280000006</v>
      </c>
    </row>
    <row r="11" spans="1:13" ht="31" x14ac:dyDescent="0.35">
      <c r="B11" s="212" t="s">
        <v>295</v>
      </c>
      <c r="C11" s="213">
        <f>+'FY 24 estimated'!AF82+'FY 24 estimated'!AF89</f>
        <v>17798.54</v>
      </c>
      <c r="D11" s="213">
        <f>+'FY 24 estimated'!AF83+'FY 24 estimated'!AF85</f>
        <v>12915.23</v>
      </c>
      <c r="E11" s="213">
        <f>+'FY 24 estimated'!AF84</f>
        <v>16197.539999999999</v>
      </c>
      <c r="F11" s="213"/>
      <c r="G11" s="213">
        <f>+'FY 24 estimated'!AF95</f>
        <v>47.64</v>
      </c>
      <c r="H11" s="213"/>
      <c r="I11" s="213">
        <f>+'FY 24 estimated'!AF92</f>
        <v>225.13</v>
      </c>
      <c r="J11" s="213"/>
      <c r="K11" s="213"/>
      <c r="L11" s="213"/>
      <c r="M11" s="214">
        <f t="shared" si="0"/>
        <v>47184.079999999994</v>
      </c>
    </row>
    <row r="12" spans="1:13" ht="31" x14ac:dyDescent="0.35">
      <c r="B12" s="212" t="s">
        <v>296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4">
        <f t="shared" si="0"/>
        <v>0</v>
      </c>
    </row>
    <row r="13" spans="1:13" ht="31" x14ac:dyDescent="0.35">
      <c r="B13" s="212" t="s">
        <v>297</v>
      </c>
      <c r="C13" s="213"/>
      <c r="D13" s="213"/>
      <c r="E13" s="213">
        <f>+'FY 24 estimated'!AF99+'FY 24 estimated'!AF101+'FY 24 estimated'!AF102</f>
        <v>2932.33</v>
      </c>
      <c r="F13" s="213"/>
      <c r="G13" s="213"/>
      <c r="H13" s="213"/>
      <c r="I13" s="213"/>
      <c r="J13" s="213"/>
      <c r="K13" s="213"/>
      <c r="L13" s="213"/>
      <c r="M13" s="214">
        <f t="shared" si="0"/>
        <v>2932.33</v>
      </c>
    </row>
    <row r="14" spans="1:13" ht="16" thickBot="1" x14ac:dyDescent="0.4">
      <c r="B14" s="215" t="s">
        <v>79</v>
      </c>
      <c r="C14" s="216">
        <f>SUM(C8:C13)</f>
        <v>560150.02200000011</v>
      </c>
      <c r="D14" s="216">
        <f t="shared" ref="D14:L14" si="1">SUM(D8:D13)</f>
        <v>206730.50520000004</v>
      </c>
      <c r="E14" s="216">
        <f t="shared" si="1"/>
        <v>244398.16839999997</v>
      </c>
      <c r="F14" s="216">
        <f t="shared" si="1"/>
        <v>63588</v>
      </c>
      <c r="G14" s="216">
        <f t="shared" si="1"/>
        <v>198395.57</v>
      </c>
      <c r="H14" s="216">
        <f t="shared" si="1"/>
        <v>100650</v>
      </c>
      <c r="I14" s="216">
        <f t="shared" si="1"/>
        <v>114725.13</v>
      </c>
      <c r="J14" s="216">
        <f t="shared" si="1"/>
        <v>0</v>
      </c>
      <c r="K14" s="216">
        <f t="shared" si="1"/>
        <v>0</v>
      </c>
      <c r="L14" s="216">
        <f t="shared" si="1"/>
        <v>0</v>
      </c>
      <c r="M14" s="217">
        <f t="shared" si="0"/>
        <v>1488637.3956000004</v>
      </c>
    </row>
    <row r="16" spans="1:13" ht="16" thickBot="1" x14ac:dyDescent="0.4">
      <c r="B16" s="204" t="s">
        <v>298</v>
      </c>
    </row>
    <row r="17" spans="1:13" ht="47" thickBot="1" x14ac:dyDescent="0.4">
      <c r="A17" s="218" t="s">
        <v>299</v>
      </c>
      <c r="B17" s="219">
        <v>95</v>
      </c>
      <c r="C17" s="220">
        <f>C14/$B$17</f>
        <v>5896.316021052633</v>
      </c>
      <c r="D17" s="220">
        <f t="shared" ref="D17:M17" si="2">D14/$B$17</f>
        <v>2176.1105810526319</v>
      </c>
      <c r="E17" s="220">
        <f t="shared" si="2"/>
        <v>2572.6122989473679</v>
      </c>
      <c r="F17" s="220">
        <f t="shared" si="2"/>
        <v>669.34736842105258</v>
      </c>
      <c r="G17" s="220">
        <f t="shared" si="2"/>
        <v>2088.3744210526315</v>
      </c>
      <c r="H17" s="220">
        <f t="shared" si="2"/>
        <v>1059.4736842105262</v>
      </c>
      <c r="I17" s="220">
        <f t="shared" si="2"/>
        <v>1207.6329473684211</v>
      </c>
      <c r="J17" s="220">
        <f t="shared" si="2"/>
        <v>0</v>
      </c>
      <c r="K17" s="220">
        <f t="shared" si="2"/>
        <v>0</v>
      </c>
      <c r="L17" s="220">
        <f t="shared" si="2"/>
        <v>0</v>
      </c>
      <c r="M17" s="221">
        <f t="shared" si="2"/>
        <v>15669.867322105267</v>
      </c>
    </row>
    <row r="19" spans="1:13" x14ac:dyDescent="0.35">
      <c r="B19" s="386"/>
      <c r="C19" s="386"/>
      <c r="D19" s="201"/>
    </row>
    <row r="20" spans="1:13" x14ac:dyDescent="0.35">
      <c r="D20" s="201"/>
    </row>
    <row r="21" spans="1:13" x14ac:dyDescent="0.35">
      <c r="B21" s="222"/>
      <c r="C21" s="223"/>
      <c r="D21" s="201"/>
    </row>
    <row r="22" spans="1:13" x14ac:dyDescent="0.35">
      <c r="B22" s="222"/>
      <c r="C22" s="223"/>
      <c r="D22" s="201"/>
    </row>
    <row r="23" spans="1:13" x14ac:dyDescent="0.35">
      <c r="B23" s="222"/>
      <c r="C23" s="223"/>
      <c r="D23" s="201"/>
    </row>
    <row r="27" spans="1:13" x14ac:dyDescent="0.35">
      <c r="L27" s="223"/>
    </row>
  </sheetData>
  <mergeCells count="4">
    <mergeCell ref="A1:M1"/>
    <mergeCell ref="A3:M3"/>
    <mergeCell ref="A4:M4"/>
    <mergeCell ref="B19:C19"/>
  </mergeCells>
  <pageMargins left="0.7" right="0.7" top="0.75" bottom="0.75" header="0.3" footer="0.3"/>
  <pageSetup scale="4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98725FBE84B4EAC37B8278B56C37B" ma:contentTypeVersion="16" ma:contentTypeDescription="Create a new document." ma:contentTypeScope="" ma:versionID="92806e9d81ea864ce4c545dc189dcdf5">
  <xsd:schema xmlns:xsd="http://www.w3.org/2001/XMLSchema" xmlns:xs="http://www.w3.org/2001/XMLSchema" xmlns:p="http://schemas.microsoft.com/office/2006/metadata/properties" xmlns:ns2="aa795d4c-00d3-4b72-b4c3-00d38e2a4c5c" xmlns:ns3="c414f0d9-66e3-4336-a8a2-dc380f7cd247" xmlns:ns4="06a0b0f5-ab3f-4382-8730-459fb424e421" targetNamespace="http://schemas.microsoft.com/office/2006/metadata/properties" ma:root="true" ma:fieldsID="58e1afd753be88ceeb87b0289cd25896" ns2:_="" ns3:_="" ns4:_="">
    <xsd:import namespace="aa795d4c-00d3-4b72-b4c3-00d38e2a4c5c"/>
    <xsd:import namespace="c414f0d9-66e3-4336-a8a2-dc380f7cd247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95d4c-00d3-4b72-b4c3-00d38e2a4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4f0d9-66e3-4336-a8a2-dc380f7cd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83405a-4070-4065-b241-6b49468fe7f2}" ma:internalName="TaxCatchAll" ma:showField="CatchAllData" ma:web="c414f0d9-66e3-4336-a8a2-dc380f7cd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a0b0f5-ab3f-4382-8730-459fb424e421" xsi:nil="true"/>
    <lcf76f155ced4ddcb4097134ff3c332f xmlns="aa795d4c-00d3-4b72-b4c3-00d38e2a4c5c">
      <Terms xmlns="http://schemas.microsoft.com/office/infopath/2007/PartnerControls"/>
    </lcf76f155ced4ddcb4097134ff3c332f>
    <_dlc_DocId xmlns="c414f0d9-66e3-4336-a8a2-dc380f7cd247">ZF2YJTPC3M6R-1169042642-80571</_dlc_DocId>
    <_dlc_DocIdUrl xmlns="c414f0d9-66e3-4336-a8a2-dc380f7cd247">
      <Url>https://ohiodas.sharepoint.com/sites/OSS_Staff/_layouts/15/DocIdRedir.aspx?ID=ZF2YJTPC3M6R-1169042642-80571</Url>
      <Description>ZF2YJTPC3M6R-1169042642-80571</Description>
    </_dlc_DocIdUrl>
  </documentManagement>
</p:properties>
</file>

<file path=customXml/itemProps1.xml><?xml version="1.0" encoding="utf-8"?>
<ds:datastoreItem xmlns:ds="http://schemas.openxmlformats.org/officeDocument/2006/customXml" ds:itemID="{44415B5E-6988-48CE-A294-5863ACA5B174}"/>
</file>

<file path=customXml/itemProps2.xml><?xml version="1.0" encoding="utf-8"?>
<ds:datastoreItem xmlns:ds="http://schemas.openxmlformats.org/officeDocument/2006/customXml" ds:itemID="{4B72FF17-B0D4-447A-8B53-951E07A3755C}"/>
</file>

<file path=customXml/itemProps3.xml><?xml version="1.0" encoding="utf-8"?>
<ds:datastoreItem xmlns:ds="http://schemas.openxmlformats.org/officeDocument/2006/customXml" ds:itemID="{E314C135-470A-404B-A777-2C227CF9EAB9}"/>
</file>

<file path=customXml/itemProps4.xml><?xml version="1.0" encoding="utf-8"?>
<ds:datastoreItem xmlns:ds="http://schemas.openxmlformats.org/officeDocument/2006/customXml" ds:itemID="{70622D55-78E6-4919-A93F-CA3F2DCB2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Forecast</vt:lpstr>
      <vt:lpstr>FY 24 Estim spring</vt:lpstr>
      <vt:lpstr>FY 25 Foundation Only</vt:lpstr>
      <vt:lpstr>FY 26 Foundation Only</vt:lpstr>
      <vt:lpstr>Assumptions</vt:lpstr>
      <vt:lpstr>FY 24 estimated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Darlene Holt</dc:creator>
  <cp:lastModifiedBy>Vogler, Rebecca</cp:lastModifiedBy>
  <cp:lastPrinted>2023-09-25T14:22:20Z</cp:lastPrinted>
  <dcterms:created xsi:type="dcterms:W3CDTF">2023-09-22T14:58:11Z</dcterms:created>
  <dcterms:modified xsi:type="dcterms:W3CDTF">2024-05-23T20:16:45Z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0x01010093798725FBE84B4EAC37B8278B56C37B</vt:lpwstr>
  </property>
  <property fmtid="{D5CDD505-2E9C-101B-9397-08002B2CF9AE}" pid="3" name="_dlc_DocIdItemGuid">
    <vt:lpwstr>5f3721c1-b50c-4aa1-8d46-23bacae6afb2</vt:lpwstr>
  </property>
</Properties>
</file>